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20730" windowHeight="11190" tabRatio="784" activeTab="2"/>
  </bookViews>
  <sheets>
    <sheet name="Таблица № 1" sheetId="2" r:id="rId1"/>
    <sheet name="Табл2Саратов" sheetId="1" r:id="rId2"/>
    <sheet name="Табл2Энгельс" sheetId="3" r:id="rId3"/>
    <sheet name="Таблица № 3" sheetId="4" r:id="rId4"/>
    <sheet name="Таблица № 4" sheetId="5" r:id="rId5"/>
    <sheet name="Таблица №5" sheetId="6" r:id="rId6"/>
    <sheet name="Табл6Саратов" sheetId="7" r:id="rId7"/>
    <sheet name="Табл6Энгельс" sheetId="8" r:id="rId8"/>
    <sheet name="ТАБЛИЦА 7" sheetId="9" r:id="rId9"/>
  </sheets>
  <definedNames>
    <definedName name="_xlnm.Print_Titles" localSheetId="1">Табл2Саратов!$2:$6</definedName>
    <definedName name="_xlnm.Print_Titles" localSheetId="2">Табл2Энгельс!$2:$6</definedName>
    <definedName name="_xlnm.Print_Titles" localSheetId="6">Табл6Саратов!$2:$7</definedName>
    <definedName name="_xlnm.Print_Titles" localSheetId="7">Табл6Энгельс!$2:$7</definedName>
    <definedName name="_xlnm.Print_Titles" localSheetId="8">'ТАБЛИЦА 7'!$2:$5</definedName>
    <definedName name="_xlnm.Print_Titles" localSheetId="0">'Таблица № 1'!$2:$5</definedName>
    <definedName name="_xlnm.Print_Titles" localSheetId="4">'Таблица № 4'!$2:$6</definedName>
    <definedName name="_xlnm.Print_Titles" localSheetId="5">'Таблица №5'!$2:$7</definedName>
    <definedName name="_xlnm.Print_Area" localSheetId="1">Табл2Саратов!$A$1:$AR$677</definedName>
    <definedName name="_xlnm.Print_Area" localSheetId="8">'ТАБЛИЦА 7'!$A$1:$H$362</definedName>
    <definedName name="_xlnm.Print_Area" localSheetId="0">'Таблица № 1'!$A$1:$AQ$770</definedName>
    <definedName name="_xlnm.Print_Area" localSheetId="4">'Таблица № 4'!$A$1:$S$615</definedName>
    <definedName name="_xlnm.Print_Area" localSheetId="5">'Таблица №5'!$A$1:$Q$520</definedName>
  </definedNames>
  <calcPr calcId="152511"/>
  <extLst xmlns:x15="http://schemas.microsoft.com/office/spreadsheetml/2010/11/main">
    <ext uri="{140A7094-0E35-4892-8432-C4D2E57EDEB5}">
      <x15:workbookPr chartTrackingRefBase="1"/>
    </ext>
  </extLst>
</workbook>
</file>

<file path=xl/calcChain.xml><?xml version="1.0" encoding="utf-8"?>
<calcChain xmlns="http://schemas.openxmlformats.org/spreadsheetml/2006/main">
  <c r="J498" i="2"/>
  <c r="P498"/>
  <c r="V498"/>
  <c r="AB498"/>
  <c r="AN498"/>
  <c r="AH498"/>
  <c r="R511"/>
  <c r="L511"/>
  <c r="K511"/>
  <c r="G511"/>
  <c r="F511"/>
  <c r="AP423" l="1"/>
  <c r="AN424"/>
  <c r="AN423"/>
  <c r="AJ423"/>
  <c r="AH424"/>
  <c r="AH423"/>
  <c r="AD423"/>
  <c r="AB424"/>
  <c r="AB423"/>
  <c r="V423"/>
  <c r="P423"/>
  <c r="J423"/>
  <c r="AP93"/>
  <c r="AN94"/>
  <c r="AN93"/>
  <c r="AJ93"/>
  <c r="AH94"/>
  <c r="AH93"/>
  <c r="AD93"/>
  <c r="AB94"/>
  <c r="AB93"/>
  <c r="X93"/>
  <c r="V93"/>
  <c r="R93"/>
  <c r="P93"/>
  <c r="AQ146" i="3"/>
  <c r="AO147"/>
  <c r="AO146"/>
  <c r="AK146"/>
  <c r="AI147"/>
  <c r="AI146"/>
  <c r="AE146"/>
  <c r="AC147"/>
  <c r="AC146"/>
  <c r="Y146"/>
  <c r="W147"/>
  <c r="W146"/>
  <c r="M146"/>
  <c r="K147"/>
  <c r="K146"/>
  <c r="S146"/>
  <c r="Q147"/>
  <c r="Q146"/>
  <c r="S69" i="1" l="1"/>
  <c r="S219"/>
  <c r="S326"/>
  <c r="S513"/>
  <c r="S515"/>
  <c r="S537"/>
  <c r="S589"/>
  <c r="S603"/>
  <c r="R613" i="5"/>
  <c r="L613"/>
  <c r="K613"/>
  <c r="G613"/>
  <c r="F613"/>
  <c r="R399"/>
  <c r="L399"/>
  <c r="K399"/>
  <c r="G399"/>
  <c r="F399"/>
  <c r="R391"/>
  <c r="L391"/>
  <c r="K391"/>
  <c r="G391"/>
  <c r="F391"/>
  <c r="R375"/>
  <c r="L375"/>
  <c r="K375"/>
  <c r="G375"/>
  <c r="F375"/>
  <c r="R360"/>
  <c r="L360"/>
  <c r="K360"/>
  <c r="K361" s="1"/>
  <c r="G360"/>
  <c r="F360"/>
  <c r="R53"/>
  <c r="L53"/>
  <c r="K53"/>
  <c r="G53"/>
  <c r="F53"/>
  <c r="R40"/>
  <c r="R361" s="1"/>
  <c r="L40"/>
  <c r="K40"/>
  <c r="G40"/>
  <c r="F40"/>
  <c r="L26"/>
  <c r="K26"/>
  <c r="G26"/>
  <c r="F26"/>
  <c r="L361" l="1"/>
  <c r="F361"/>
  <c r="G614"/>
  <c r="K614"/>
  <c r="G361"/>
  <c r="L614"/>
  <c r="F614"/>
  <c r="R614"/>
  <c r="AK145" i="3" l="1"/>
  <c r="Q67" i="8" l="1"/>
  <c r="O67"/>
  <c r="Q66"/>
  <c r="O66"/>
  <c r="Q65"/>
  <c r="O65"/>
  <c r="Q64"/>
  <c r="O64"/>
  <c r="Q63"/>
  <c r="O63"/>
  <c r="Q62"/>
  <c r="O62"/>
  <c r="Q61"/>
  <c r="O61"/>
  <c r="Q60"/>
  <c r="O60"/>
  <c r="Q59"/>
  <c r="O59"/>
  <c r="Q58"/>
  <c r="O58"/>
  <c r="Q57"/>
  <c r="O57"/>
  <c r="Q56"/>
  <c r="O56"/>
  <c r="Q55"/>
  <c r="O55"/>
  <c r="Q54"/>
  <c r="O54"/>
  <c r="Q53"/>
  <c r="O53"/>
  <c r="Q52"/>
  <c r="O52"/>
  <c r="Q51"/>
  <c r="O51"/>
  <c r="Q50"/>
  <c r="O50"/>
  <c r="Q49"/>
  <c r="O49"/>
  <c r="Q48"/>
  <c r="O48"/>
  <c r="Q47"/>
  <c r="O47"/>
  <c r="Q46"/>
  <c r="O46"/>
  <c r="Q45"/>
  <c r="O45"/>
  <c r="Q44"/>
  <c r="O44"/>
  <c r="Q43"/>
  <c r="O43"/>
  <c r="Q42"/>
  <c r="O42"/>
  <c r="Q41"/>
  <c r="O41"/>
  <c r="Q40"/>
  <c r="O40"/>
  <c r="Q39"/>
  <c r="O39"/>
  <c r="Q38"/>
  <c r="O38"/>
  <c r="Q37"/>
  <c r="O37"/>
  <c r="Q36"/>
  <c r="O36"/>
  <c r="Q35"/>
  <c r="O35"/>
  <c r="Q34"/>
  <c r="O34"/>
  <c r="Q33"/>
  <c r="O33"/>
  <c r="Q32"/>
  <c r="O32"/>
  <c r="Q31"/>
  <c r="O31"/>
  <c r="Q30"/>
  <c r="O30"/>
  <c r="Q29"/>
  <c r="O29"/>
  <c r="Q28"/>
  <c r="O28"/>
  <c r="Q27"/>
  <c r="O27"/>
  <c r="Q26"/>
  <c r="O26"/>
  <c r="Q25"/>
  <c r="O25"/>
  <c r="Q24"/>
  <c r="O24"/>
  <c r="Q23"/>
  <c r="O23"/>
  <c r="Q22"/>
  <c r="O22"/>
  <c r="Q21"/>
  <c r="O21"/>
  <c r="Q20"/>
  <c r="O20"/>
  <c r="Q19"/>
  <c r="O19"/>
  <c r="Q18"/>
  <c r="O18"/>
  <c r="Q17"/>
  <c r="O17"/>
  <c r="Q16"/>
  <c r="O16"/>
  <c r="Q15"/>
  <c r="O15"/>
  <c r="Q14"/>
  <c r="O14"/>
  <c r="Q13"/>
  <c r="O13"/>
  <c r="Q12"/>
  <c r="O12"/>
  <c r="Q11"/>
  <c r="O11"/>
  <c r="Q10"/>
  <c r="O10"/>
  <c r="Q9"/>
  <c r="O9"/>
  <c r="K13" i="4" l="1"/>
  <c r="F13"/>
  <c r="S141" i="3" l="1"/>
  <c r="Y115"/>
  <c r="M8"/>
  <c r="L306" i="2"/>
  <c r="L261"/>
  <c r="L88"/>
  <c r="L68"/>
  <c r="L93" s="1"/>
  <c r="L47"/>
  <c r="L127"/>
  <c r="AN339" l="1"/>
  <c r="AN337"/>
  <c r="AN335"/>
  <c r="AH333"/>
  <c r="AH331"/>
  <c r="AH329"/>
  <c r="AH327"/>
  <c r="AH325"/>
  <c r="AH323"/>
  <c r="AH321"/>
  <c r="AH319"/>
  <c r="J118" i="7" l="1"/>
  <c r="J80"/>
  <c r="E368"/>
  <c r="P367"/>
  <c r="N367"/>
  <c r="L367"/>
  <c r="I367"/>
  <c r="F367"/>
  <c r="E367"/>
  <c r="Q365"/>
  <c r="O365"/>
  <c r="M365"/>
  <c r="Q364"/>
  <c r="O364"/>
  <c r="M364"/>
  <c r="Q363"/>
  <c r="O363"/>
  <c r="M363"/>
  <c r="Q362"/>
  <c r="O362"/>
  <c r="M362"/>
  <c r="Q361"/>
  <c r="O361"/>
  <c r="M361"/>
  <c r="Q360"/>
  <c r="O360"/>
  <c r="M360"/>
  <c r="Q359"/>
  <c r="O359"/>
  <c r="M359"/>
  <c r="Q358"/>
  <c r="O358"/>
  <c r="M358"/>
  <c r="Q357"/>
  <c r="O357"/>
  <c r="M357"/>
  <c r="Q356"/>
  <c r="O356"/>
  <c r="M356"/>
  <c r="Q355"/>
  <c r="O355"/>
  <c r="M355"/>
  <c r="Q354"/>
  <c r="O354"/>
  <c r="M354"/>
  <c r="Q353"/>
  <c r="O353"/>
  <c r="M353"/>
  <c r="Q352"/>
  <c r="O352"/>
  <c r="M352"/>
  <c r="Q351"/>
  <c r="O351"/>
  <c r="M351"/>
  <c r="Q350"/>
  <c r="O350"/>
  <c r="M350"/>
  <c r="Q349"/>
  <c r="O349"/>
  <c r="M349"/>
  <c r="Q348"/>
  <c r="O348"/>
  <c r="M348"/>
  <c r="Q347"/>
  <c r="O347"/>
  <c r="M347"/>
  <c r="Q346"/>
  <c r="O346"/>
  <c r="M346"/>
  <c r="Q345"/>
  <c r="O345"/>
  <c r="M345"/>
  <c r="Q344"/>
  <c r="O344"/>
  <c r="M344"/>
  <c r="Q343"/>
  <c r="O343"/>
  <c r="M343"/>
  <c r="Q342"/>
  <c r="O342"/>
  <c r="M342"/>
  <c r="Q341"/>
  <c r="O341"/>
  <c r="M341"/>
  <c r="Q340"/>
  <c r="O340"/>
  <c r="M340"/>
  <c r="Q339"/>
  <c r="O339"/>
  <c r="M339"/>
  <c r="Q338"/>
  <c r="O338"/>
  <c r="M338"/>
  <c r="Q337"/>
  <c r="O337"/>
  <c r="M337"/>
  <c r="Q336"/>
  <c r="O336"/>
  <c r="M336"/>
  <c r="Q335"/>
  <c r="O335"/>
  <c r="M335"/>
  <c r="Q334"/>
  <c r="O334"/>
  <c r="M334"/>
  <c r="Q333"/>
  <c r="O333"/>
  <c r="M333"/>
  <c r="Q332"/>
  <c r="O332"/>
  <c r="M332"/>
  <c r="Q331"/>
  <c r="O331"/>
  <c r="M331"/>
  <c r="Q330"/>
  <c r="O330"/>
  <c r="M330"/>
  <c r="Q329"/>
  <c r="O329"/>
  <c r="M329"/>
  <c r="Q328"/>
  <c r="O328"/>
  <c r="M328"/>
  <c r="Q327"/>
  <c r="O327"/>
  <c r="M327"/>
  <c r="Q326"/>
  <c r="O326"/>
  <c r="M326"/>
  <c r="Q325"/>
  <c r="O325"/>
  <c r="M325"/>
  <c r="Q324"/>
  <c r="O324"/>
  <c r="M324"/>
  <c r="Q323"/>
  <c r="O323"/>
  <c r="M323"/>
  <c r="Q322"/>
  <c r="O322"/>
  <c r="M322"/>
  <c r="Q321"/>
  <c r="O321"/>
  <c r="M321"/>
  <c r="Q320"/>
  <c r="O320"/>
  <c r="M320"/>
  <c r="Q319"/>
  <c r="O319"/>
  <c r="M319"/>
  <c r="Q318"/>
  <c r="O318"/>
  <c r="M318"/>
  <c r="Q317"/>
  <c r="O317"/>
  <c r="M317"/>
  <c r="Q316"/>
  <c r="O316"/>
  <c r="M316"/>
  <c r="Q315"/>
  <c r="O315"/>
  <c r="M315"/>
  <c r="Q314"/>
  <c r="O314"/>
  <c r="M314"/>
  <c r="Q313"/>
  <c r="O313"/>
  <c r="M313"/>
  <c r="Q312"/>
  <c r="O312"/>
  <c r="M312"/>
  <c r="Q311"/>
  <c r="O311"/>
  <c r="M311"/>
  <c r="Q310"/>
  <c r="O310"/>
  <c r="M310"/>
  <c r="Q309"/>
  <c r="O309"/>
  <c r="M309"/>
  <c r="Q308"/>
  <c r="O308"/>
  <c r="M308"/>
  <c r="Q307"/>
  <c r="O307"/>
  <c r="M307"/>
  <c r="Q306"/>
  <c r="O306"/>
  <c r="M306"/>
  <c r="Q305"/>
  <c r="O305"/>
  <c r="M305"/>
  <c r="J305"/>
  <c r="Q304"/>
  <c r="O304"/>
  <c r="M304"/>
  <c r="J304"/>
  <c r="Q303"/>
  <c r="O303"/>
  <c r="M303"/>
  <c r="J303"/>
  <c r="Q302"/>
  <c r="O302"/>
  <c r="M302"/>
  <c r="J302"/>
  <c r="Q301"/>
  <c r="O301"/>
  <c r="M301"/>
  <c r="J301"/>
  <c r="Q300"/>
  <c r="O300"/>
  <c r="M300"/>
  <c r="J300"/>
  <c r="Q299"/>
  <c r="O299"/>
  <c r="M299"/>
  <c r="J299"/>
  <c r="Q298"/>
  <c r="O298"/>
  <c r="M298"/>
  <c r="J298"/>
  <c r="Q297"/>
  <c r="O297"/>
  <c r="M297"/>
  <c r="J297"/>
  <c r="Q296"/>
  <c r="O296"/>
  <c r="M296"/>
  <c r="J296"/>
  <c r="Q295"/>
  <c r="O295"/>
  <c r="M295"/>
  <c r="J295"/>
  <c r="Q294"/>
  <c r="O294"/>
  <c r="M294"/>
  <c r="J294"/>
  <c r="Q293"/>
  <c r="O293"/>
  <c r="M293"/>
  <c r="J293"/>
  <c r="Q292"/>
  <c r="O292"/>
  <c r="M292"/>
  <c r="J292"/>
  <c r="Q291"/>
  <c r="O291"/>
  <c r="M291"/>
  <c r="J291"/>
  <c r="Q290"/>
  <c r="O290"/>
  <c r="M290"/>
  <c r="J290"/>
  <c r="Q289"/>
  <c r="O289"/>
  <c r="M289"/>
  <c r="J289"/>
  <c r="Q288"/>
  <c r="O288"/>
  <c r="M288"/>
  <c r="J288"/>
  <c r="Q287"/>
  <c r="O287"/>
  <c r="M287"/>
  <c r="J287"/>
  <c r="Q286"/>
  <c r="O286"/>
  <c r="M286"/>
  <c r="J286"/>
  <c r="Q285"/>
  <c r="O285"/>
  <c r="M285"/>
  <c r="J285"/>
  <c r="Q284"/>
  <c r="O284"/>
  <c r="M284"/>
  <c r="J284"/>
  <c r="Q283"/>
  <c r="O283"/>
  <c r="M283"/>
  <c r="J283"/>
  <c r="Q282"/>
  <c r="O282"/>
  <c r="M282"/>
  <c r="J282"/>
  <c r="Q281"/>
  <c r="O281"/>
  <c r="M281"/>
  <c r="J281"/>
  <c r="Q280"/>
  <c r="O280"/>
  <c r="M280"/>
  <c r="J280"/>
  <c r="Q279"/>
  <c r="O279"/>
  <c r="M279"/>
  <c r="J279"/>
  <c r="Q278"/>
  <c r="O278"/>
  <c r="M278"/>
  <c r="J278"/>
  <c r="Q277"/>
  <c r="O277"/>
  <c r="M277"/>
  <c r="J277"/>
  <c r="Q276"/>
  <c r="O276"/>
  <c r="M276"/>
  <c r="J276"/>
  <c r="Q275"/>
  <c r="O275"/>
  <c r="M275"/>
  <c r="J275"/>
  <c r="Q274"/>
  <c r="O274"/>
  <c r="M274"/>
  <c r="J274"/>
  <c r="Q273"/>
  <c r="O273"/>
  <c r="M273"/>
  <c r="J273"/>
  <c r="Q272"/>
  <c r="O272"/>
  <c r="M272"/>
  <c r="J272"/>
  <c r="Q271"/>
  <c r="O271"/>
  <c r="M271"/>
  <c r="J271"/>
  <c r="Q270"/>
  <c r="O270"/>
  <c r="M270"/>
  <c r="J270"/>
  <c r="Q269"/>
  <c r="O269"/>
  <c r="M269"/>
  <c r="J269"/>
  <c r="Q268"/>
  <c r="O268"/>
  <c r="M268"/>
  <c r="J268"/>
  <c r="Q267"/>
  <c r="O267"/>
  <c r="M267"/>
  <c r="J267"/>
  <c r="Q266"/>
  <c r="O266"/>
  <c r="M266"/>
  <c r="J266"/>
  <c r="Q265"/>
  <c r="O265"/>
  <c r="M265"/>
  <c r="J265"/>
  <c r="Q264"/>
  <c r="O264"/>
  <c r="M264"/>
  <c r="J264"/>
  <c r="Q263"/>
  <c r="O263"/>
  <c r="M263"/>
  <c r="J263"/>
  <c r="Q262"/>
  <c r="O262"/>
  <c r="M262"/>
  <c r="J262"/>
  <c r="Q261"/>
  <c r="O261"/>
  <c r="M261"/>
  <c r="J261"/>
  <c r="Q260"/>
  <c r="O260"/>
  <c r="M260"/>
  <c r="J260"/>
  <c r="Q259"/>
  <c r="O259"/>
  <c r="M259"/>
  <c r="J259"/>
  <c r="Q258"/>
  <c r="O258"/>
  <c r="M258"/>
  <c r="J258"/>
  <c r="Q257"/>
  <c r="O257"/>
  <c r="M257"/>
  <c r="Q256"/>
  <c r="O256"/>
  <c r="M256"/>
  <c r="J256"/>
  <c r="Q255"/>
  <c r="O255"/>
  <c r="M255"/>
  <c r="J255"/>
  <c r="Q254"/>
  <c r="O254"/>
  <c r="M254"/>
  <c r="J254"/>
  <c r="Q253"/>
  <c r="O253"/>
  <c r="M253"/>
  <c r="J253"/>
  <c r="Q252"/>
  <c r="O252"/>
  <c r="M252"/>
  <c r="J252"/>
  <c r="Q251"/>
  <c r="O251"/>
  <c r="M251"/>
  <c r="J251"/>
  <c r="Q250"/>
  <c r="O250"/>
  <c r="M250"/>
  <c r="J250"/>
  <c r="Q249"/>
  <c r="O249"/>
  <c r="M249"/>
  <c r="J249"/>
  <c r="Q248"/>
  <c r="O248"/>
  <c r="M248"/>
  <c r="J248"/>
  <c r="Q247"/>
  <c r="O247"/>
  <c r="M247"/>
  <c r="J247"/>
  <c r="Q246"/>
  <c r="O246"/>
  <c r="M246"/>
  <c r="J246"/>
  <c r="Q245"/>
  <c r="O245"/>
  <c r="M245"/>
  <c r="J245"/>
  <c r="Q244"/>
  <c r="O244"/>
  <c r="M244"/>
  <c r="J244"/>
  <c r="Q243"/>
  <c r="O243"/>
  <c r="M243"/>
  <c r="J243"/>
  <c r="Q242"/>
  <c r="O242"/>
  <c r="M242"/>
  <c r="J242"/>
  <c r="Q241"/>
  <c r="O241"/>
  <c r="M241"/>
  <c r="J241"/>
  <c r="Q240"/>
  <c r="O240"/>
  <c r="M240"/>
  <c r="J240"/>
  <c r="Q239"/>
  <c r="O239"/>
  <c r="M239"/>
  <c r="J239"/>
  <c r="Q238"/>
  <c r="O238"/>
  <c r="M238"/>
  <c r="J238"/>
  <c r="Q237"/>
  <c r="O237"/>
  <c r="M237"/>
  <c r="J237"/>
  <c r="Q236"/>
  <c r="O236"/>
  <c r="M236"/>
  <c r="J236"/>
  <c r="Q235"/>
  <c r="O235"/>
  <c r="M235"/>
  <c r="J235"/>
  <c r="Q234"/>
  <c r="O234"/>
  <c r="M234"/>
  <c r="J234"/>
  <c r="Q233"/>
  <c r="O233"/>
  <c r="M233"/>
  <c r="J233"/>
  <c r="Q232"/>
  <c r="O232"/>
  <c r="M232"/>
  <c r="J232"/>
  <c r="Q231"/>
  <c r="O231"/>
  <c r="M231"/>
  <c r="J231"/>
  <c r="Q230"/>
  <c r="O230"/>
  <c r="M230"/>
  <c r="J230"/>
  <c r="Q229"/>
  <c r="O229"/>
  <c r="M229"/>
  <c r="J229"/>
  <c r="Q228"/>
  <c r="O228"/>
  <c r="M228"/>
  <c r="J228"/>
  <c r="Q227"/>
  <c r="O227"/>
  <c r="M227"/>
  <c r="J227"/>
  <c r="Q226"/>
  <c r="O226"/>
  <c r="M226"/>
  <c r="J226"/>
  <c r="Q225"/>
  <c r="O225"/>
  <c r="M225"/>
  <c r="J225"/>
  <c r="Q224"/>
  <c r="O224"/>
  <c r="M224"/>
  <c r="J224"/>
  <c r="Q223"/>
  <c r="O223"/>
  <c r="M223"/>
  <c r="J223"/>
  <c r="Q222"/>
  <c r="O222"/>
  <c r="M222"/>
  <c r="J222"/>
  <c r="Q221"/>
  <c r="O221"/>
  <c r="M221"/>
  <c r="J221"/>
  <c r="Q220"/>
  <c r="O220"/>
  <c r="M220"/>
  <c r="J220"/>
  <c r="Q219"/>
  <c r="O219"/>
  <c r="M219"/>
  <c r="J219"/>
  <c r="Q218"/>
  <c r="O218"/>
  <c r="M218"/>
  <c r="J218"/>
  <c r="Q217"/>
  <c r="O217"/>
  <c r="M217"/>
  <c r="J217"/>
  <c r="Q216"/>
  <c r="O216"/>
  <c r="M216"/>
  <c r="J216"/>
  <c r="Q215"/>
  <c r="O215"/>
  <c r="M215"/>
  <c r="J215"/>
  <c r="Q214"/>
  <c r="O214"/>
  <c r="M214"/>
  <c r="J214"/>
  <c r="Q213"/>
  <c r="O213"/>
  <c r="M213"/>
  <c r="J213"/>
  <c r="Q212"/>
  <c r="O212"/>
  <c r="M212"/>
  <c r="J212"/>
  <c r="Q211"/>
  <c r="O211"/>
  <c r="M211"/>
  <c r="J211"/>
  <c r="Q210"/>
  <c r="O210"/>
  <c r="M210"/>
  <c r="J210"/>
  <c r="Q209"/>
  <c r="O209"/>
  <c r="M209"/>
  <c r="J209"/>
  <c r="Q208"/>
  <c r="O208"/>
  <c r="M208"/>
  <c r="J208"/>
  <c r="Q207"/>
  <c r="O207"/>
  <c r="M207"/>
  <c r="J207"/>
  <c r="Q206"/>
  <c r="O206"/>
  <c r="M206"/>
  <c r="J206"/>
  <c r="Q205"/>
  <c r="O205"/>
  <c r="M205"/>
  <c r="J205"/>
  <c r="Q204"/>
  <c r="O204"/>
  <c r="M204"/>
  <c r="J204"/>
  <c r="Q203"/>
  <c r="O203"/>
  <c r="M203"/>
  <c r="J203"/>
  <c r="Q202"/>
  <c r="O202"/>
  <c r="M202"/>
  <c r="J202"/>
  <c r="Q201"/>
  <c r="O201"/>
  <c r="M201"/>
  <c r="J201"/>
  <c r="Q200"/>
  <c r="O200"/>
  <c r="M200"/>
  <c r="J200"/>
  <c r="Q199"/>
  <c r="O199"/>
  <c r="M199"/>
  <c r="J199"/>
  <c r="Q198"/>
  <c r="O198"/>
  <c r="M198"/>
  <c r="J198"/>
  <c r="Q197"/>
  <c r="O197"/>
  <c r="M197"/>
  <c r="J197"/>
  <c r="Q196"/>
  <c r="O196"/>
  <c r="M196"/>
  <c r="J196"/>
  <c r="Q195"/>
  <c r="O195"/>
  <c r="M195"/>
  <c r="J195"/>
  <c r="Q194"/>
  <c r="O194"/>
  <c r="M194"/>
  <c r="J194"/>
  <c r="Q193"/>
  <c r="O193"/>
  <c r="M193"/>
  <c r="J193"/>
  <c r="Q192"/>
  <c r="O192"/>
  <c r="M192"/>
  <c r="J192"/>
  <c r="Q191"/>
  <c r="O191"/>
  <c r="M191"/>
  <c r="J191"/>
  <c r="Q190"/>
  <c r="O190"/>
  <c r="M190"/>
  <c r="J190"/>
  <c r="Q189"/>
  <c r="O189"/>
  <c r="M189"/>
  <c r="J189"/>
  <c r="Q188"/>
  <c r="O188"/>
  <c r="M188"/>
  <c r="J188"/>
  <c r="Q187"/>
  <c r="O187"/>
  <c r="M187"/>
  <c r="J187"/>
  <c r="Q186"/>
  <c r="O186"/>
  <c r="M186"/>
  <c r="J186"/>
  <c r="Q185"/>
  <c r="O185"/>
  <c r="M185"/>
  <c r="J185"/>
  <c r="Q184"/>
  <c r="O184"/>
  <c r="M184"/>
  <c r="J184"/>
  <c r="Q183"/>
  <c r="O183"/>
  <c r="M183"/>
  <c r="J183"/>
  <c r="Q182"/>
  <c r="O182"/>
  <c r="M182"/>
  <c r="J182"/>
  <c r="Q181"/>
  <c r="O181"/>
  <c r="M181"/>
  <c r="J181"/>
  <c r="Q180"/>
  <c r="O180"/>
  <c r="M180"/>
  <c r="J180"/>
  <c r="Q179"/>
  <c r="O179"/>
  <c r="M179"/>
  <c r="J179"/>
  <c r="Q178"/>
  <c r="O178"/>
  <c r="M178"/>
  <c r="J178"/>
  <c r="Q177"/>
  <c r="O177"/>
  <c r="M177"/>
  <c r="J177"/>
  <c r="Q176"/>
  <c r="O176"/>
  <c r="M176"/>
  <c r="J176"/>
  <c r="Q175"/>
  <c r="O175"/>
  <c r="M175"/>
  <c r="J175"/>
  <c r="Q174"/>
  <c r="O174"/>
  <c r="M174"/>
  <c r="J174"/>
  <c r="Q173"/>
  <c r="O173"/>
  <c r="M173"/>
  <c r="J173"/>
  <c r="Q172"/>
  <c r="O172"/>
  <c r="M172"/>
  <c r="J172"/>
  <c r="Q171"/>
  <c r="O171"/>
  <c r="M171"/>
  <c r="J171"/>
  <c r="Q170"/>
  <c r="O170"/>
  <c r="M170"/>
  <c r="J170"/>
  <c r="Q169"/>
  <c r="O169"/>
  <c r="M169"/>
  <c r="J169"/>
  <c r="Q168"/>
  <c r="O168"/>
  <c r="M168"/>
  <c r="J168"/>
  <c r="Q167"/>
  <c r="O167"/>
  <c r="M167"/>
  <c r="J167"/>
  <c r="Q166"/>
  <c r="O166"/>
  <c r="M166"/>
  <c r="J166"/>
  <c r="Q165"/>
  <c r="O165"/>
  <c r="M165"/>
  <c r="J165"/>
  <c r="Q164"/>
  <c r="O164"/>
  <c r="M164"/>
  <c r="J164"/>
  <c r="Q163"/>
  <c r="O163"/>
  <c r="M163"/>
  <c r="J163"/>
  <c r="Q162"/>
  <c r="O162"/>
  <c r="M162"/>
  <c r="J162"/>
  <c r="Q161"/>
  <c r="O161"/>
  <c r="M161"/>
  <c r="J161"/>
  <c r="Q160"/>
  <c r="O160"/>
  <c r="M160"/>
  <c r="J160"/>
  <c r="Q159"/>
  <c r="O159"/>
  <c r="M159"/>
  <c r="J159"/>
  <c r="Q158"/>
  <c r="O158"/>
  <c r="M158"/>
  <c r="J158"/>
  <c r="Q157"/>
  <c r="O157"/>
  <c r="M157"/>
  <c r="J157"/>
  <c r="Q156"/>
  <c r="O156"/>
  <c r="M156"/>
  <c r="J156"/>
  <c r="Q155"/>
  <c r="O155"/>
  <c r="M155"/>
  <c r="J155"/>
  <c r="Q154"/>
  <c r="O154"/>
  <c r="M154"/>
  <c r="J154"/>
  <c r="Q153"/>
  <c r="O153"/>
  <c r="M153"/>
  <c r="J153"/>
  <c r="Q152"/>
  <c r="O152"/>
  <c r="M152"/>
  <c r="J152"/>
  <c r="Q151"/>
  <c r="O151"/>
  <c r="M151"/>
  <c r="J151"/>
  <c r="Q150"/>
  <c r="O150"/>
  <c r="M150"/>
  <c r="J150"/>
  <c r="Q149"/>
  <c r="O149"/>
  <c r="M149"/>
  <c r="J149"/>
  <c r="Q148"/>
  <c r="O148"/>
  <c r="M148"/>
  <c r="J148"/>
  <c r="Q147"/>
  <c r="O147"/>
  <c r="M147"/>
  <c r="J147"/>
  <c r="Q146"/>
  <c r="O146"/>
  <c r="M146"/>
  <c r="J146"/>
  <c r="Q145"/>
  <c r="O145"/>
  <c r="M145"/>
  <c r="J145"/>
  <c r="Q144"/>
  <c r="O144"/>
  <c r="M144"/>
  <c r="J144"/>
  <c r="Q143"/>
  <c r="O143"/>
  <c r="M143"/>
  <c r="J143"/>
  <c r="Q142"/>
  <c r="O142"/>
  <c r="M142"/>
  <c r="J142"/>
  <c r="Q141"/>
  <c r="O141"/>
  <c r="M141"/>
  <c r="J141"/>
  <c r="Q140"/>
  <c r="O140"/>
  <c r="M140"/>
  <c r="J140"/>
  <c r="Q139"/>
  <c r="O139"/>
  <c r="M139"/>
  <c r="J139"/>
  <c r="Q138"/>
  <c r="O138"/>
  <c r="M138"/>
  <c r="J138"/>
  <c r="Q137"/>
  <c r="O137"/>
  <c r="M137"/>
  <c r="J137"/>
  <c r="Q136"/>
  <c r="O136"/>
  <c r="M136"/>
  <c r="J136"/>
  <c r="Q135"/>
  <c r="O135"/>
  <c r="M135"/>
  <c r="J135"/>
  <c r="Q134"/>
  <c r="O134"/>
  <c r="M134"/>
  <c r="J134"/>
  <c r="Q133"/>
  <c r="O133"/>
  <c r="M133"/>
  <c r="J133"/>
  <c r="Q132"/>
  <c r="O132"/>
  <c r="M132"/>
  <c r="J132"/>
  <c r="Q131"/>
  <c r="O131"/>
  <c r="M131"/>
  <c r="J131"/>
  <c r="Q130"/>
  <c r="O130"/>
  <c r="M130"/>
  <c r="J130"/>
  <c r="Q129"/>
  <c r="O129"/>
  <c r="M129"/>
  <c r="J129"/>
  <c r="Q128"/>
  <c r="O128"/>
  <c r="M128"/>
  <c r="J128"/>
  <c r="Q127"/>
  <c r="O127"/>
  <c r="M127"/>
  <c r="J127"/>
  <c r="Q126"/>
  <c r="O126"/>
  <c r="M126"/>
  <c r="J126"/>
  <c r="Q125"/>
  <c r="O125"/>
  <c r="M125"/>
  <c r="J125"/>
  <c r="Q124"/>
  <c r="O124"/>
  <c r="M124"/>
  <c r="J124"/>
  <c r="Q123"/>
  <c r="O123"/>
  <c r="M123"/>
  <c r="J123"/>
  <c r="Q122"/>
  <c r="O122"/>
  <c r="M122"/>
  <c r="J122"/>
  <c r="Q121"/>
  <c r="O121"/>
  <c r="M121"/>
  <c r="J121"/>
  <c r="Q120"/>
  <c r="O120"/>
  <c r="M120"/>
  <c r="J120"/>
  <c r="Q119"/>
  <c r="O119"/>
  <c r="M119"/>
  <c r="J119"/>
  <c r="Q117"/>
  <c r="O117"/>
  <c r="M117"/>
  <c r="J117"/>
  <c r="Q116"/>
  <c r="O116"/>
  <c r="M116"/>
  <c r="J116"/>
  <c r="Q115"/>
  <c r="O115"/>
  <c r="M115"/>
  <c r="J115"/>
  <c r="Q114"/>
  <c r="O114"/>
  <c r="M114"/>
  <c r="J114"/>
  <c r="Q113"/>
  <c r="O113"/>
  <c r="M113"/>
  <c r="J113"/>
  <c r="Q112"/>
  <c r="O112"/>
  <c r="M112"/>
  <c r="J112"/>
  <c r="Q111"/>
  <c r="O111"/>
  <c r="M111"/>
  <c r="J111"/>
  <c r="Q110"/>
  <c r="O110"/>
  <c r="M110"/>
  <c r="J110"/>
  <c r="Q109"/>
  <c r="O109"/>
  <c r="M109"/>
  <c r="J109"/>
  <c r="Q108"/>
  <c r="O108"/>
  <c r="M108"/>
  <c r="J108"/>
  <c r="Q107"/>
  <c r="O107"/>
  <c r="M107"/>
  <c r="J107"/>
  <c r="Q106"/>
  <c r="O106"/>
  <c r="M106"/>
  <c r="J106"/>
  <c r="Q105"/>
  <c r="O105"/>
  <c r="M105"/>
  <c r="J105"/>
  <c r="Q104"/>
  <c r="O104"/>
  <c r="M104"/>
  <c r="J104"/>
  <c r="Q103"/>
  <c r="O103"/>
  <c r="M103"/>
  <c r="J103"/>
  <c r="Q102"/>
  <c r="O102"/>
  <c r="M102"/>
  <c r="J102"/>
  <c r="Q101"/>
  <c r="O101"/>
  <c r="M101"/>
  <c r="J101"/>
  <c r="Q100"/>
  <c r="O100"/>
  <c r="M100"/>
  <c r="J100"/>
  <c r="Q99"/>
  <c r="O99"/>
  <c r="M99"/>
  <c r="J99"/>
  <c r="Q98"/>
  <c r="O98"/>
  <c r="M98"/>
  <c r="J98"/>
  <c r="Q97"/>
  <c r="O97"/>
  <c r="M97"/>
  <c r="J97"/>
  <c r="Q96"/>
  <c r="O96"/>
  <c r="M96"/>
  <c r="J96"/>
  <c r="Q95"/>
  <c r="O95"/>
  <c r="M95"/>
  <c r="J95"/>
  <c r="Q94"/>
  <c r="O94"/>
  <c r="M94"/>
  <c r="J94"/>
  <c r="Q93"/>
  <c r="O93"/>
  <c r="M93"/>
  <c r="J93"/>
  <c r="Q92"/>
  <c r="O92"/>
  <c r="M92"/>
  <c r="J92"/>
  <c r="Q91"/>
  <c r="O91"/>
  <c r="M91"/>
  <c r="J91"/>
  <c r="Q90"/>
  <c r="O90"/>
  <c r="M90"/>
  <c r="J90"/>
  <c r="Q89"/>
  <c r="O89"/>
  <c r="M89"/>
  <c r="J89"/>
  <c r="Q88"/>
  <c r="O88"/>
  <c r="M88"/>
  <c r="J88"/>
  <c r="Q87"/>
  <c r="O87"/>
  <c r="M87"/>
  <c r="J87"/>
  <c r="Q86"/>
  <c r="O86"/>
  <c r="M86"/>
  <c r="J86"/>
  <c r="Q85"/>
  <c r="O85"/>
  <c r="M85"/>
  <c r="J85"/>
  <c r="Q84"/>
  <c r="O84"/>
  <c r="M84"/>
  <c r="J84"/>
  <c r="Q83"/>
  <c r="O83"/>
  <c r="M83"/>
  <c r="J83"/>
  <c r="Q82"/>
  <c r="O82"/>
  <c r="M82"/>
  <c r="J82"/>
  <c r="Q81"/>
  <c r="O81"/>
  <c r="M81"/>
  <c r="J81"/>
  <c r="Q80"/>
  <c r="O80"/>
  <c r="M80"/>
  <c r="Q79"/>
  <c r="O79"/>
  <c r="M79"/>
  <c r="J79"/>
  <c r="Q78"/>
  <c r="O78"/>
  <c r="M78"/>
  <c r="J78"/>
  <c r="Q77"/>
  <c r="O77"/>
  <c r="M77"/>
  <c r="J77"/>
  <c r="Q76"/>
  <c r="O76"/>
  <c r="M76"/>
  <c r="J76"/>
  <c r="Q75"/>
  <c r="O75"/>
  <c r="M75"/>
  <c r="J75"/>
  <c r="Q74"/>
  <c r="O74"/>
  <c r="M74"/>
  <c r="J74"/>
  <c r="Q73"/>
  <c r="O73"/>
  <c r="M73"/>
  <c r="J73"/>
  <c r="Q72"/>
  <c r="O72"/>
  <c r="M72"/>
  <c r="J72"/>
  <c r="Q71"/>
  <c r="O71"/>
  <c r="M71"/>
  <c r="J71"/>
  <c r="Q70"/>
  <c r="O70"/>
  <c r="M70"/>
  <c r="J70"/>
  <c r="Q69"/>
  <c r="O69"/>
  <c r="M69"/>
  <c r="J69"/>
  <c r="Q68"/>
  <c r="O68"/>
  <c r="M68"/>
  <c r="J68"/>
  <c r="Q67"/>
  <c r="O67"/>
  <c r="M67"/>
  <c r="J67"/>
  <c r="Q66"/>
  <c r="O66"/>
  <c r="M66"/>
  <c r="J66"/>
  <c r="Q65"/>
  <c r="O65"/>
  <c r="M65"/>
  <c r="J65"/>
  <c r="Q64"/>
  <c r="O64"/>
  <c r="M64"/>
  <c r="J64"/>
  <c r="Q63"/>
  <c r="O63"/>
  <c r="M63"/>
  <c r="J63"/>
  <c r="Q62"/>
  <c r="O62"/>
  <c r="M62"/>
  <c r="J62"/>
  <c r="Q61"/>
  <c r="O61"/>
  <c r="M61"/>
  <c r="J61"/>
  <c r="Q60"/>
  <c r="O60"/>
  <c r="M60"/>
  <c r="J60"/>
  <c r="Q59"/>
  <c r="O59"/>
  <c r="M59"/>
  <c r="J59"/>
  <c r="Q58"/>
  <c r="O58"/>
  <c r="N58"/>
  <c r="M58"/>
  <c r="J58"/>
  <c r="E58"/>
  <c r="Q57"/>
  <c r="O57"/>
  <c r="J57"/>
  <c r="Q56"/>
  <c r="O56"/>
  <c r="M56"/>
  <c r="J56"/>
  <c r="Q55"/>
  <c r="O55"/>
  <c r="M55"/>
  <c r="J55"/>
  <c r="Q54"/>
  <c r="O54"/>
  <c r="M54"/>
  <c r="J54"/>
  <c r="Q53"/>
  <c r="O53"/>
  <c r="M53"/>
  <c r="J53"/>
  <c r="Q52"/>
  <c r="O52"/>
  <c r="M52"/>
  <c r="J52"/>
  <c r="Q51"/>
  <c r="O51"/>
  <c r="M51"/>
  <c r="J51"/>
  <c r="Q50"/>
  <c r="O50"/>
  <c r="M50"/>
  <c r="J50"/>
  <c r="Q49"/>
  <c r="O49"/>
  <c r="M49"/>
  <c r="J49"/>
  <c r="Q48"/>
  <c r="O48"/>
  <c r="M48"/>
  <c r="J48"/>
  <c r="Q47"/>
  <c r="O47"/>
  <c r="M47"/>
  <c r="J47"/>
  <c r="Q46"/>
  <c r="O46"/>
  <c r="M46"/>
  <c r="J46"/>
  <c r="L44"/>
  <c r="I44"/>
  <c r="F44"/>
  <c r="E44"/>
  <c r="Q43"/>
  <c r="O43"/>
  <c r="M43"/>
  <c r="J43"/>
  <c r="Q42"/>
  <c r="O42"/>
  <c r="M42"/>
  <c r="Q41"/>
  <c r="O41"/>
  <c r="M41"/>
  <c r="J41"/>
  <c r="Q40"/>
  <c r="O40"/>
  <c r="M40"/>
  <c r="J40"/>
  <c r="Q39"/>
  <c r="O39"/>
  <c r="M39"/>
  <c r="J39"/>
  <c r="Q38"/>
  <c r="O38"/>
  <c r="M38"/>
  <c r="J38"/>
  <c r="Q37"/>
  <c r="O37"/>
  <c r="M37"/>
  <c r="J37"/>
  <c r="Q36"/>
  <c r="O36"/>
  <c r="M36"/>
  <c r="J36"/>
  <c r="P35"/>
  <c r="Q35" s="1"/>
  <c r="O35"/>
  <c r="M35"/>
  <c r="J35"/>
  <c r="Q34"/>
  <c r="O34"/>
  <c r="M34"/>
  <c r="J34"/>
  <c r="Q33"/>
  <c r="N33"/>
  <c r="N44" s="1"/>
  <c r="O44" s="1"/>
  <c r="M33"/>
  <c r="J33"/>
  <c r="Q32"/>
  <c r="O32"/>
  <c r="M32"/>
  <c r="J32"/>
  <c r="P31"/>
  <c r="Q31" s="1"/>
  <c r="O31"/>
  <c r="M31"/>
  <c r="J31"/>
  <c r="Q30"/>
  <c r="O30"/>
  <c r="M30"/>
  <c r="J30"/>
  <c r="Q29"/>
  <c r="O29"/>
  <c r="M29"/>
  <c r="J29"/>
  <c r="Q28"/>
  <c r="O28"/>
  <c r="M28"/>
  <c r="J28"/>
  <c r="Q27"/>
  <c r="O27"/>
  <c r="M27"/>
  <c r="J27"/>
  <c r="Q26"/>
  <c r="O26"/>
  <c r="M26"/>
  <c r="J26"/>
  <c r="Q25"/>
  <c r="O25"/>
  <c r="M25"/>
  <c r="J25"/>
  <c r="Q24"/>
  <c r="O24"/>
  <c r="M24"/>
  <c r="J24"/>
  <c r="Q23"/>
  <c r="O23"/>
  <c r="M23"/>
  <c r="J23"/>
  <c r="Q22"/>
  <c r="O22"/>
  <c r="M22"/>
  <c r="J22"/>
  <c r="Q21"/>
  <c r="O21"/>
  <c r="M21"/>
  <c r="J21"/>
  <c r="Q20"/>
  <c r="O20"/>
  <c r="M20"/>
  <c r="J20"/>
  <c r="Q19"/>
  <c r="O19"/>
  <c r="M19"/>
  <c r="J19"/>
  <c r="Q18"/>
  <c r="O18"/>
  <c r="M18"/>
  <c r="J18"/>
  <c r="P17"/>
  <c r="P44" s="1"/>
  <c r="Q44" s="1"/>
  <c r="O17"/>
  <c r="M17"/>
  <c r="J17"/>
  <c r="Q16"/>
  <c r="O16"/>
  <c r="M16"/>
  <c r="J16"/>
  <c r="Q15"/>
  <c r="O15"/>
  <c r="M15"/>
  <c r="J15"/>
  <c r="Q14"/>
  <c r="O14"/>
  <c r="M14"/>
  <c r="J14"/>
  <c r="P12"/>
  <c r="P368" s="1"/>
  <c r="N12"/>
  <c r="L12"/>
  <c r="I12"/>
  <c r="F12"/>
  <c r="F368" s="1"/>
  <c r="E12"/>
  <c r="O11"/>
  <c r="Q11" s="1"/>
  <c r="J11"/>
  <c r="O10"/>
  <c r="Q10" s="1"/>
  <c r="J10"/>
  <c r="O9"/>
  <c r="Q9" s="1"/>
  <c r="J9"/>
  <c r="I368" l="1"/>
  <c r="N368"/>
  <c r="L368"/>
  <c r="J12"/>
  <c r="M12" s="1"/>
  <c r="O12" s="1"/>
  <c r="Q12" s="1"/>
  <c r="M44"/>
  <c r="Q17"/>
  <c r="J44"/>
  <c r="O33"/>
  <c r="F125" i="6" l="1"/>
  <c r="F127"/>
  <c r="F124"/>
  <c r="I281"/>
  <c r="I280"/>
  <c r="I329"/>
  <c r="I340"/>
  <c r="I349"/>
  <c r="I368"/>
  <c r="I398"/>
  <c r="I412"/>
  <c r="L137"/>
  <c r="L138"/>
  <c r="L139"/>
  <c r="L140"/>
  <c r="L141"/>
  <c r="L142"/>
  <c r="L143"/>
  <c r="L144"/>
  <c r="L145"/>
  <c r="L146"/>
  <c r="L147"/>
  <c r="L148"/>
  <c r="L149"/>
  <c r="L150"/>
  <c r="L151"/>
  <c r="L152"/>
  <c r="L153"/>
  <c r="L154"/>
  <c r="L155"/>
  <c r="L156"/>
  <c r="L157"/>
  <c r="L158"/>
  <c r="L159"/>
  <c r="L160"/>
  <c r="L161"/>
  <c r="L162"/>
  <c r="L163"/>
  <c r="L164"/>
  <c r="L165"/>
  <c r="L166"/>
  <c r="L167"/>
  <c r="L168"/>
  <c r="L169"/>
  <c r="L170"/>
  <c r="L171"/>
  <c r="L172"/>
  <c r="L173"/>
  <c r="L174"/>
  <c r="L175"/>
  <c r="L176"/>
  <c r="L177"/>
  <c r="L178"/>
  <c r="L179"/>
  <c r="L180"/>
  <c r="L181"/>
  <c r="L182"/>
  <c r="L183"/>
  <c r="L184"/>
  <c r="L185"/>
  <c r="L186"/>
  <c r="L187"/>
  <c r="L188"/>
  <c r="L189"/>
  <c r="L190"/>
  <c r="L191"/>
  <c r="L192"/>
  <c r="L193"/>
  <c r="L194"/>
  <c r="L195"/>
  <c r="L196"/>
  <c r="L197"/>
  <c r="L198"/>
  <c r="L199"/>
  <c r="L200"/>
  <c r="L201"/>
  <c r="L202"/>
  <c r="L203"/>
  <c r="L204"/>
  <c r="L205"/>
  <c r="L206"/>
  <c r="L207"/>
  <c r="L208"/>
  <c r="L209"/>
  <c r="L210"/>
  <c r="L211"/>
  <c r="L212"/>
  <c r="L213"/>
  <c r="L214"/>
  <c r="L215"/>
  <c r="L216"/>
  <c r="L217"/>
  <c r="L218"/>
  <c r="L219"/>
  <c r="L220"/>
  <c r="L221"/>
  <c r="L222"/>
  <c r="L223"/>
  <c r="L224"/>
  <c r="L225"/>
  <c r="L226"/>
  <c r="L227"/>
  <c r="L228"/>
  <c r="L229"/>
  <c r="L230"/>
  <c r="L231"/>
  <c r="L232"/>
  <c r="L233"/>
  <c r="L234"/>
  <c r="L235"/>
  <c r="L236"/>
  <c r="L237"/>
  <c r="L238"/>
  <c r="L239"/>
  <c r="L240"/>
  <c r="L241"/>
  <c r="L242"/>
  <c r="L243"/>
  <c r="L244"/>
  <c r="L245"/>
  <c r="L246"/>
  <c r="L247"/>
  <c r="L248"/>
  <c r="L249"/>
  <c r="L250"/>
  <c r="L251"/>
  <c r="L252"/>
  <c r="L253"/>
  <c r="L254"/>
  <c r="L255"/>
  <c r="L256"/>
  <c r="L257"/>
  <c r="L258"/>
  <c r="L259"/>
  <c r="L260"/>
  <c r="L261"/>
  <c r="L262"/>
  <c r="L263"/>
  <c r="L264"/>
  <c r="L265"/>
  <c r="L266"/>
  <c r="L267"/>
  <c r="L268"/>
  <c r="L269"/>
  <c r="L270"/>
  <c r="L271"/>
  <c r="L272"/>
  <c r="L273"/>
  <c r="L274"/>
  <c r="L275"/>
  <c r="L276"/>
  <c r="L277"/>
  <c r="L278"/>
  <c r="L279"/>
  <c r="L280"/>
  <c r="L281"/>
  <c r="L282"/>
  <c r="L283"/>
  <c r="L284"/>
  <c r="L285"/>
  <c r="L286"/>
  <c r="L287"/>
  <c r="L288"/>
  <c r="L289"/>
  <c r="L290"/>
  <c r="L291"/>
  <c r="L292"/>
  <c r="L293"/>
  <c r="L294"/>
  <c r="L295"/>
  <c r="L296"/>
  <c r="L297"/>
  <c r="L298"/>
  <c r="L299"/>
  <c r="L300"/>
  <c r="L301"/>
  <c r="L302"/>
  <c r="L303"/>
  <c r="L304"/>
  <c r="L305"/>
  <c r="L306"/>
  <c r="L307"/>
  <c r="L308"/>
  <c r="L309"/>
  <c r="L310"/>
  <c r="L311"/>
  <c r="L312"/>
  <c r="L313"/>
  <c r="L314"/>
  <c r="L315"/>
  <c r="L316"/>
  <c r="L317"/>
  <c r="L318"/>
  <c r="L319"/>
  <c r="L320"/>
  <c r="L321"/>
  <c r="L322"/>
  <c r="L323"/>
  <c r="L324"/>
  <c r="L325"/>
  <c r="L326"/>
  <c r="L327"/>
  <c r="L328"/>
  <c r="L329"/>
  <c r="L330"/>
  <c r="L331"/>
  <c r="L332"/>
  <c r="L333"/>
  <c r="L334"/>
  <c r="L335"/>
  <c r="L336"/>
  <c r="L337"/>
  <c r="L338"/>
  <c r="L339"/>
  <c r="L340"/>
  <c r="L341"/>
  <c r="L342"/>
  <c r="L343"/>
  <c r="L344"/>
  <c r="L345"/>
  <c r="L346"/>
  <c r="L347"/>
  <c r="L348"/>
  <c r="L349"/>
  <c r="L350"/>
  <c r="L351"/>
  <c r="L352"/>
  <c r="L353"/>
  <c r="L354"/>
  <c r="L355"/>
  <c r="L356"/>
  <c r="L357"/>
  <c r="L358"/>
  <c r="L359"/>
  <c r="L360"/>
  <c r="L361"/>
  <c r="L362"/>
  <c r="L363"/>
  <c r="L364"/>
  <c r="L365"/>
  <c r="L366"/>
  <c r="L367"/>
  <c r="L368"/>
  <c r="L369"/>
  <c r="L370"/>
  <c r="L371"/>
  <c r="L372"/>
  <c r="L373"/>
  <c r="L375"/>
  <c r="L376"/>
  <c r="L377"/>
  <c r="L378"/>
  <c r="L379"/>
  <c r="L380"/>
  <c r="L381"/>
  <c r="L382"/>
  <c r="L383"/>
  <c r="L384"/>
  <c r="L385"/>
  <c r="L386"/>
  <c r="L387"/>
  <c r="L388"/>
  <c r="L389"/>
  <c r="L390"/>
  <c r="L391"/>
  <c r="L392"/>
  <c r="L393"/>
  <c r="L394"/>
  <c r="L395"/>
  <c r="L396"/>
  <c r="L397"/>
  <c r="L398"/>
  <c r="L399"/>
  <c r="L400"/>
  <c r="L401"/>
  <c r="L402"/>
  <c r="L403"/>
  <c r="L404"/>
  <c r="L405"/>
  <c r="L406"/>
  <c r="L407"/>
  <c r="L408"/>
  <c r="L409"/>
  <c r="L410"/>
  <c r="L411"/>
  <c r="L412"/>
  <c r="L413"/>
  <c r="L414"/>
  <c r="L415"/>
  <c r="L416"/>
  <c r="L417"/>
  <c r="L418"/>
  <c r="L419"/>
  <c r="L420"/>
  <c r="L421"/>
  <c r="L422"/>
  <c r="L423"/>
  <c r="L424"/>
  <c r="L425"/>
  <c r="L426"/>
  <c r="L427"/>
  <c r="L428"/>
  <c r="L429"/>
  <c r="L430"/>
  <c r="L431"/>
  <c r="L432"/>
  <c r="L433"/>
  <c r="L434"/>
  <c r="L435"/>
  <c r="L436"/>
  <c r="L437"/>
  <c r="L438"/>
  <c r="L439"/>
  <c r="L440"/>
  <c r="L441"/>
  <c r="L442"/>
  <c r="L443"/>
  <c r="L444"/>
  <c r="L445"/>
  <c r="L446"/>
  <c r="L447"/>
  <c r="L448"/>
  <c r="L449"/>
  <c r="L450"/>
  <c r="L451"/>
  <c r="L452"/>
  <c r="L453"/>
  <c r="L454"/>
  <c r="L455"/>
  <c r="L456"/>
  <c r="L457"/>
  <c r="L458"/>
  <c r="L459"/>
  <c r="L460"/>
  <c r="L461"/>
  <c r="L462"/>
  <c r="L463"/>
  <c r="L464"/>
  <c r="L465"/>
  <c r="L466"/>
  <c r="L467"/>
  <c r="L468"/>
  <c r="L469"/>
  <c r="L470"/>
  <c r="L471"/>
  <c r="L472"/>
  <c r="L473"/>
  <c r="L474"/>
  <c r="L475"/>
  <c r="L476"/>
  <c r="L477"/>
  <c r="L478"/>
  <c r="L479"/>
  <c r="L480"/>
  <c r="L481"/>
  <c r="L482"/>
  <c r="L483"/>
  <c r="L484"/>
  <c r="L485"/>
  <c r="L486"/>
  <c r="L487"/>
  <c r="L488"/>
  <c r="L489"/>
  <c r="L490"/>
  <c r="L491"/>
  <c r="L492"/>
  <c r="L493"/>
  <c r="L494"/>
  <c r="L495"/>
  <c r="L496"/>
  <c r="L497"/>
  <c r="L498"/>
  <c r="L499"/>
  <c r="L500"/>
  <c r="L501"/>
  <c r="L502"/>
  <c r="L503"/>
  <c r="L504"/>
  <c r="L505"/>
  <c r="L506"/>
  <c r="L507"/>
  <c r="L508"/>
  <c r="L509"/>
  <c r="L510"/>
  <c r="L511"/>
  <c r="L512"/>
  <c r="L513"/>
  <c r="L514"/>
  <c r="L515"/>
  <c r="L516"/>
  <c r="L517"/>
  <c r="I8" i="9" l="1"/>
  <c r="I9"/>
  <c r="I10"/>
  <c r="I11"/>
  <c r="I12"/>
  <c r="I13"/>
  <c r="I14"/>
  <c r="I15"/>
  <c r="I16"/>
  <c r="I17"/>
  <c r="I18"/>
  <c r="I19"/>
  <c r="I20"/>
  <c r="I21"/>
  <c r="I22"/>
  <c r="I23"/>
  <c r="I24"/>
  <c r="I25"/>
  <c r="I26"/>
  <c r="I27"/>
  <c r="I28"/>
  <c r="I29"/>
  <c r="I30"/>
  <c r="I31"/>
  <c r="I32"/>
  <c r="I33"/>
  <c r="I34"/>
  <c r="I35"/>
  <c r="I36"/>
  <c r="I37"/>
  <c r="I38"/>
  <c r="I39"/>
  <c r="I40"/>
  <c r="I41"/>
  <c r="I42"/>
  <c r="I43"/>
  <c r="I44"/>
  <c r="I45"/>
  <c r="I46"/>
  <c r="I47"/>
  <c r="I48"/>
  <c r="I49"/>
  <c r="I50"/>
  <c r="I51"/>
  <c r="I52"/>
  <c r="I53"/>
  <c r="I54"/>
  <c r="I55"/>
  <c r="I56"/>
  <c r="I57"/>
  <c r="I58"/>
  <c r="I59"/>
  <c r="I60"/>
  <c r="I61"/>
  <c r="I62"/>
  <c r="I63"/>
  <c r="I64"/>
  <c r="I65"/>
  <c r="I66"/>
  <c r="I67"/>
  <c r="I68"/>
  <c r="I69"/>
  <c r="I70"/>
  <c r="I71"/>
  <c r="I72"/>
  <c r="I73"/>
  <c r="I74"/>
  <c r="I75"/>
  <c r="I76"/>
  <c r="I77"/>
  <c r="I78"/>
  <c r="I79"/>
  <c r="I80"/>
  <c r="I81"/>
  <c r="I82"/>
  <c r="I83"/>
  <c r="I84"/>
  <c r="I85"/>
  <c r="I86"/>
  <c r="I87"/>
  <c r="I88"/>
  <c r="I89"/>
  <c r="I90"/>
  <c r="I91"/>
  <c r="I92"/>
  <c r="I93"/>
  <c r="I94"/>
  <c r="I95"/>
  <c r="I96"/>
  <c r="I97"/>
  <c r="I98"/>
  <c r="I99"/>
  <c r="I100"/>
  <c r="I101"/>
  <c r="I102"/>
  <c r="I103"/>
  <c r="I104"/>
  <c r="I105"/>
  <c r="I106"/>
  <c r="I107"/>
  <c r="I108"/>
  <c r="I109"/>
  <c r="I110"/>
  <c r="I111"/>
  <c r="I112"/>
  <c r="I113"/>
  <c r="I114"/>
  <c r="I115"/>
  <c r="I116"/>
  <c r="I117"/>
  <c r="I118"/>
  <c r="I119"/>
  <c r="I120"/>
  <c r="I121"/>
  <c r="I122"/>
  <c r="I123"/>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I161"/>
  <c r="I162"/>
  <c r="I163"/>
  <c r="I164"/>
  <c r="I165"/>
  <c r="I166"/>
  <c r="I167"/>
  <c r="I168"/>
  <c r="I169"/>
  <c r="I170"/>
  <c r="I171"/>
  <c r="I172"/>
  <c r="I173"/>
  <c r="I174"/>
  <c r="I175"/>
  <c r="I176"/>
  <c r="I177"/>
  <c r="I178"/>
  <c r="I179"/>
  <c r="I180"/>
  <c r="I181"/>
  <c r="I182"/>
  <c r="I183"/>
  <c r="I184"/>
  <c r="I185"/>
  <c r="I186"/>
  <c r="I187"/>
  <c r="I188"/>
  <c r="I189"/>
  <c r="I190"/>
  <c r="I191"/>
  <c r="I192"/>
  <c r="I193"/>
  <c r="I194"/>
  <c r="I195"/>
  <c r="I196"/>
  <c r="I197"/>
  <c r="I198"/>
  <c r="I199"/>
  <c r="I200"/>
  <c r="I201"/>
  <c r="I202"/>
  <c r="I203"/>
  <c r="I204"/>
  <c r="I205"/>
  <c r="I206"/>
  <c r="I207"/>
  <c r="I208"/>
  <c r="I209"/>
  <c r="I210"/>
  <c r="I211"/>
  <c r="I212"/>
  <c r="I213"/>
  <c r="I214"/>
  <c r="I215"/>
  <c r="I216"/>
  <c r="I217"/>
  <c r="I218"/>
  <c r="I219"/>
  <c r="I220"/>
  <c r="I221"/>
  <c r="I222"/>
  <c r="I223"/>
  <c r="I224"/>
  <c r="I225"/>
  <c r="I226"/>
  <c r="I227"/>
  <c r="I228"/>
  <c r="I229"/>
  <c r="I230"/>
  <c r="I231"/>
  <c r="I232"/>
  <c r="I233"/>
  <c r="I234"/>
  <c r="I235"/>
  <c r="I236"/>
  <c r="I237"/>
  <c r="I238"/>
  <c r="I239"/>
  <c r="I240"/>
  <c r="I241"/>
  <c r="I242"/>
  <c r="I243"/>
  <c r="I244"/>
  <c r="I245"/>
  <c r="I246"/>
  <c r="I247"/>
  <c r="I248"/>
  <c r="I249"/>
  <c r="I250"/>
  <c r="I251"/>
  <c r="I252"/>
  <c r="I253"/>
  <c r="I254"/>
  <c r="I255"/>
  <c r="I256"/>
  <c r="I257"/>
  <c r="I258"/>
  <c r="I259"/>
  <c r="I260"/>
  <c r="I261"/>
  <c r="I262"/>
  <c r="I263"/>
  <c r="I264"/>
  <c r="I265"/>
  <c r="I266"/>
  <c r="I267"/>
  <c r="I268"/>
  <c r="I269"/>
  <c r="I270"/>
  <c r="I271"/>
  <c r="I272"/>
  <c r="I273"/>
  <c r="I274"/>
  <c r="I275"/>
  <c r="I276"/>
  <c r="I277"/>
  <c r="I278"/>
  <c r="I279"/>
  <c r="I280"/>
  <c r="I281"/>
  <c r="I282"/>
  <c r="I283"/>
  <c r="I284"/>
  <c r="I285"/>
  <c r="I286"/>
  <c r="I287"/>
  <c r="I288"/>
  <c r="I289"/>
  <c r="I290"/>
  <c r="I291"/>
  <c r="I292"/>
  <c r="I293"/>
  <c r="I294"/>
  <c r="I295"/>
  <c r="I296"/>
  <c r="I297"/>
  <c r="I298"/>
  <c r="I299"/>
  <c r="I300"/>
  <c r="I301"/>
  <c r="I302"/>
  <c r="I303"/>
  <c r="I304"/>
  <c r="I305"/>
  <c r="I306"/>
  <c r="I307"/>
  <c r="I308"/>
  <c r="I309"/>
  <c r="I310"/>
  <c r="I311"/>
  <c r="I312"/>
  <c r="I313"/>
  <c r="I314"/>
  <c r="I315"/>
  <c r="I316"/>
  <c r="I317"/>
  <c r="I318"/>
  <c r="I319"/>
  <c r="I320"/>
  <c r="I321"/>
  <c r="I322"/>
  <c r="I323"/>
  <c r="I324"/>
  <c r="I325"/>
  <c r="I326"/>
  <c r="I327"/>
  <c r="I328"/>
  <c r="I329"/>
  <c r="I330"/>
  <c r="I331"/>
  <c r="I332"/>
  <c r="I333"/>
  <c r="I334"/>
  <c r="I335"/>
  <c r="I336"/>
  <c r="I337"/>
  <c r="I338"/>
  <c r="I339"/>
  <c r="I340"/>
  <c r="I341"/>
  <c r="I342"/>
  <c r="I343"/>
  <c r="I344"/>
  <c r="I345"/>
  <c r="I346"/>
  <c r="I347"/>
  <c r="I348"/>
  <c r="I349"/>
  <c r="I350"/>
  <c r="I351"/>
  <c r="I352"/>
  <c r="I353"/>
  <c r="I354"/>
  <c r="I355"/>
  <c r="I356"/>
  <c r="I357"/>
  <c r="I7"/>
  <c r="H362"/>
  <c r="E362"/>
  <c r="AP445" i="2" l="1"/>
  <c r="AP444"/>
  <c r="AP443"/>
  <c r="AP442"/>
  <c r="AP441"/>
  <c r="AP440"/>
  <c r="AP439"/>
  <c r="AP438"/>
  <c r="AP437"/>
  <c r="AP436"/>
  <c r="AP435"/>
  <c r="AP434"/>
  <c r="AP433"/>
  <c r="AP431"/>
  <c r="AP429"/>
  <c r="AP427"/>
  <c r="AP425"/>
  <c r="AJ445"/>
  <c r="AJ444"/>
  <c r="AJ443"/>
  <c r="AJ442"/>
  <c r="AJ441"/>
  <c r="AJ440"/>
  <c r="AJ439"/>
  <c r="AJ438"/>
  <c r="AJ437"/>
  <c r="AJ436"/>
  <c r="AJ435"/>
  <c r="AJ434"/>
  <c r="AJ433"/>
  <c r="AJ431"/>
  <c r="AJ429"/>
  <c r="AJ427"/>
  <c r="AJ425"/>
  <c r="AD445"/>
  <c r="AD444"/>
  <c r="AD443"/>
  <c r="AD442"/>
  <c r="AD441"/>
  <c r="AD440"/>
  <c r="AD439"/>
  <c r="AD438"/>
  <c r="AD437"/>
  <c r="AD436"/>
  <c r="AD435"/>
  <c r="AD434"/>
  <c r="AD433"/>
  <c r="AD431"/>
  <c r="AD429"/>
  <c r="AD427"/>
  <c r="X445"/>
  <c r="X444"/>
  <c r="X443"/>
  <c r="X442"/>
  <c r="X441"/>
  <c r="X440"/>
  <c r="X439"/>
  <c r="X438"/>
  <c r="X437"/>
  <c r="X436"/>
  <c r="X435"/>
  <c r="X434"/>
  <c r="X433"/>
  <c r="X431"/>
  <c r="X429"/>
  <c r="X427"/>
  <c r="R445"/>
  <c r="R444"/>
  <c r="R443"/>
  <c r="R442"/>
  <c r="R441"/>
  <c r="R440"/>
  <c r="R439"/>
  <c r="R438"/>
  <c r="R437"/>
  <c r="R436"/>
  <c r="R435"/>
  <c r="R434"/>
  <c r="R433"/>
  <c r="R431"/>
  <c r="R427"/>
  <c r="R425"/>
  <c r="AP92"/>
  <c r="AJ92"/>
  <c r="X92"/>
  <c r="R92"/>
  <c r="AP115"/>
  <c r="AP114"/>
  <c r="AP113"/>
  <c r="AP112"/>
  <c r="AP111"/>
  <c r="AP110"/>
  <c r="AP109"/>
  <c r="AP108"/>
  <c r="AP107"/>
  <c r="AP106"/>
  <c r="AP105"/>
  <c r="AP104"/>
  <c r="AP103"/>
  <c r="AP101"/>
  <c r="AP99"/>
  <c r="AP97"/>
  <c r="AP95"/>
  <c r="AJ115"/>
  <c r="AJ114"/>
  <c r="AJ468" s="1"/>
  <c r="AJ113"/>
  <c r="AJ112"/>
  <c r="AJ111"/>
  <c r="AJ110"/>
  <c r="AJ464" s="1"/>
  <c r="AJ109"/>
  <c r="AJ108"/>
  <c r="AJ107"/>
  <c r="AJ106"/>
  <c r="AJ460" s="1"/>
  <c r="AJ105"/>
  <c r="AJ104"/>
  <c r="AJ103"/>
  <c r="AJ101"/>
  <c r="AJ99"/>
  <c r="AJ97"/>
  <c r="AJ95"/>
  <c r="AD115"/>
  <c r="AD469" s="1"/>
  <c r="AD114"/>
  <c r="AD113"/>
  <c r="AD112"/>
  <c r="AD466" s="1"/>
  <c r="AD111"/>
  <c r="AD110"/>
  <c r="AD109"/>
  <c r="AD108"/>
  <c r="AD462" s="1"/>
  <c r="AD107"/>
  <c r="AD106"/>
  <c r="AD105"/>
  <c r="AD104"/>
  <c r="AD458" s="1"/>
  <c r="AD103"/>
  <c r="AD101"/>
  <c r="AD99"/>
  <c r="AD97"/>
  <c r="X115"/>
  <c r="X114"/>
  <c r="X113"/>
  <c r="X112"/>
  <c r="X111"/>
  <c r="X110"/>
  <c r="X109"/>
  <c r="X108"/>
  <c r="X107"/>
  <c r="X106"/>
  <c r="X105"/>
  <c r="X104"/>
  <c r="X103"/>
  <c r="X101"/>
  <c r="X99"/>
  <c r="X97"/>
  <c r="X95"/>
  <c r="R115"/>
  <c r="R114"/>
  <c r="R113"/>
  <c r="R112"/>
  <c r="R466" s="1"/>
  <c r="R111"/>
  <c r="R110"/>
  <c r="R109"/>
  <c r="R108"/>
  <c r="R462" s="1"/>
  <c r="R107"/>
  <c r="R106"/>
  <c r="R105"/>
  <c r="R104"/>
  <c r="R458" s="1"/>
  <c r="R103"/>
  <c r="R101"/>
  <c r="R99"/>
  <c r="R97"/>
  <c r="R95"/>
  <c r="AN445"/>
  <c r="AN444"/>
  <c r="AN443"/>
  <c r="AN442"/>
  <c r="AN441"/>
  <c r="AN440"/>
  <c r="AN438"/>
  <c r="AN437"/>
  <c r="AN436"/>
  <c r="AN435"/>
  <c r="AN434"/>
  <c r="AN433"/>
  <c r="AN432"/>
  <c r="AN431"/>
  <c r="AN429"/>
  <c r="AN428"/>
  <c r="AN427"/>
  <c r="AN425"/>
  <c r="AP422"/>
  <c r="AH445"/>
  <c r="AH444"/>
  <c r="AH443"/>
  <c r="AH442"/>
  <c r="AH441"/>
  <c r="AH440"/>
  <c r="AH438"/>
  <c r="AH437"/>
  <c r="AH436"/>
  <c r="AH435"/>
  <c r="AH434"/>
  <c r="AH433"/>
  <c r="AH432"/>
  <c r="AH431"/>
  <c r="AH429"/>
  <c r="AH428"/>
  <c r="AH427"/>
  <c r="AH425"/>
  <c r="AJ422"/>
  <c r="AB445"/>
  <c r="AB444"/>
  <c r="AB443"/>
  <c r="AB442"/>
  <c r="AB441"/>
  <c r="AB440"/>
  <c r="AB439"/>
  <c r="AB438"/>
  <c r="AB437"/>
  <c r="AB436"/>
  <c r="AB435"/>
  <c r="AB434"/>
  <c r="AB433"/>
  <c r="AB432"/>
  <c r="AB431"/>
  <c r="AB430"/>
  <c r="AB429"/>
  <c r="AB428"/>
  <c r="AB427"/>
  <c r="AB425"/>
  <c r="V445"/>
  <c r="V444"/>
  <c r="V443"/>
  <c r="V442"/>
  <c r="V441"/>
  <c r="V440"/>
  <c r="V439"/>
  <c r="V438"/>
  <c r="V437"/>
  <c r="V436"/>
  <c r="V435"/>
  <c r="V434"/>
  <c r="V433"/>
  <c r="V432"/>
  <c r="V431"/>
  <c r="V430"/>
  <c r="V429"/>
  <c r="V427"/>
  <c r="V425"/>
  <c r="P445"/>
  <c r="P444"/>
  <c r="P443"/>
  <c r="P442"/>
  <c r="P441"/>
  <c r="P440"/>
  <c r="P439"/>
  <c r="P438"/>
  <c r="P437"/>
  <c r="P436"/>
  <c r="P435"/>
  <c r="P434"/>
  <c r="P433"/>
  <c r="P432"/>
  <c r="P431"/>
  <c r="P429"/>
  <c r="P428"/>
  <c r="P427"/>
  <c r="P425"/>
  <c r="L445"/>
  <c r="L444"/>
  <c r="L443"/>
  <c r="L442"/>
  <c r="L435"/>
  <c r="L433"/>
  <c r="L431"/>
  <c r="L427"/>
  <c r="J445"/>
  <c r="J444"/>
  <c r="J443"/>
  <c r="J442"/>
  <c r="J438"/>
  <c r="J437"/>
  <c r="J436"/>
  <c r="J435"/>
  <c r="J434"/>
  <c r="J433"/>
  <c r="J432"/>
  <c r="J431"/>
  <c r="J430"/>
  <c r="J429"/>
  <c r="J428"/>
  <c r="J427"/>
  <c r="J425"/>
  <c r="L441"/>
  <c r="J441"/>
  <c r="L440"/>
  <c r="J440"/>
  <c r="L439"/>
  <c r="J439"/>
  <c r="L438"/>
  <c r="L436"/>
  <c r="L434"/>
  <c r="AN115"/>
  <c r="AN114"/>
  <c r="AN113"/>
  <c r="AN112"/>
  <c r="AN111"/>
  <c r="AN465" s="1"/>
  <c r="AN110"/>
  <c r="AN108"/>
  <c r="AN107"/>
  <c r="AN106"/>
  <c r="AN105"/>
  <c r="AN104"/>
  <c r="AN103"/>
  <c r="AN102"/>
  <c r="AN101"/>
  <c r="AN100"/>
  <c r="AN99"/>
  <c r="AN98"/>
  <c r="AN452" s="1"/>
  <c r="AN97"/>
  <c r="AN95"/>
  <c r="AH115"/>
  <c r="AH114"/>
  <c r="AH113"/>
  <c r="AH112"/>
  <c r="AH111"/>
  <c r="AH110"/>
  <c r="AH464" s="1"/>
  <c r="AH108"/>
  <c r="AH107"/>
  <c r="AH106"/>
  <c r="AH105"/>
  <c r="AH104"/>
  <c r="AH103"/>
  <c r="AH102"/>
  <c r="AH101"/>
  <c r="AH100"/>
  <c r="AH99"/>
  <c r="AH98"/>
  <c r="AH97"/>
  <c r="AH95"/>
  <c r="AB115"/>
  <c r="AB114"/>
  <c r="AB113"/>
  <c r="AB467" s="1"/>
  <c r="AB112"/>
  <c r="AB111"/>
  <c r="AB110"/>
  <c r="AB109"/>
  <c r="AB463" s="1"/>
  <c r="AB108"/>
  <c r="AB107"/>
  <c r="AB106"/>
  <c r="AB105"/>
  <c r="AB459" s="1"/>
  <c r="AB104"/>
  <c r="AB103"/>
  <c r="AB102"/>
  <c r="AB101"/>
  <c r="AB455" s="1"/>
  <c r="AB100"/>
  <c r="AB99"/>
  <c r="AB98"/>
  <c r="AB97"/>
  <c r="AB95"/>
  <c r="V115"/>
  <c r="V469" s="1"/>
  <c r="V114"/>
  <c r="V113"/>
  <c r="V112"/>
  <c r="V111"/>
  <c r="V465" s="1"/>
  <c r="V110"/>
  <c r="V109"/>
  <c r="V108"/>
  <c r="V107"/>
  <c r="V461" s="1"/>
  <c r="V106"/>
  <c r="V105"/>
  <c r="V104"/>
  <c r="V103"/>
  <c r="V457" s="1"/>
  <c r="V102"/>
  <c r="V101"/>
  <c r="V100"/>
  <c r="V99"/>
  <c r="V98"/>
  <c r="V97"/>
  <c r="V95"/>
  <c r="P115"/>
  <c r="P114"/>
  <c r="P113"/>
  <c r="P112"/>
  <c r="P111"/>
  <c r="P110"/>
  <c r="P109"/>
  <c r="P463" s="1"/>
  <c r="P108"/>
  <c r="P107"/>
  <c r="P106"/>
  <c r="P105"/>
  <c r="P104"/>
  <c r="P103"/>
  <c r="P102"/>
  <c r="P101"/>
  <c r="P100"/>
  <c r="P99"/>
  <c r="P98"/>
  <c r="P97"/>
  <c r="P96"/>
  <c r="P95"/>
  <c r="L111"/>
  <c r="L110"/>
  <c r="L464" s="1"/>
  <c r="L109"/>
  <c r="J111"/>
  <c r="J110"/>
  <c r="J109"/>
  <c r="J463" s="1"/>
  <c r="E92"/>
  <c r="F422"/>
  <c r="E422"/>
  <c r="V421"/>
  <c r="P421"/>
  <c r="AH420"/>
  <c r="AH421" s="1"/>
  <c r="P419"/>
  <c r="AN417"/>
  <c r="AN430" s="1"/>
  <c r="AH417"/>
  <c r="AH430" s="1"/>
  <c r="AH415"/>
  <c r="P413"/>
  <c r="P411"/>
  <c r="P409"/>
  <c r="P407"/>
  <c r="V405"/>
  <c r="V403"/>
  <c r="X402"/>
  <c r="V401"/>
  <c r="J401"/>
  <c r="V399"/>
  <c r="V397"/>
  <c r="AN395"/>
  <c r="P395"/>
  <c r="AH393"/>
  <c r="AH391"/>
  <c r="AH389"/>
  <c r="AN387"/>
  <c r="AH387"/>
  <c r="P385"/>
  <c r="R384"/>
  <c r="P383"/>
  <c r="R382"/>
  <c r="P381"/>
  <c r="J381"/>
  <c r="R380"/>
  <c r="L380"/>
  <c r="P379"/>
  <c r="J379"/>
  <c r="R378"/>
  <c r="L378"/>
  <c r="P377"/>
  <c r="J377"/>
  <c r="R376"/>
  <c r="R423" s="1"/>
  <c r="L376"/>
  <c r="AN374"/>
  <c r="AB374"/>
  <c r="V374"/>
  <c r="P374"/>
  <c r="AD373"/>
  <c r="AD425" s="1"/>
  <c r="AB372"/>
  <c r="J370"/>
  <c r="V368"/>
  <c r="J368"/>
  <c r="AB365"/>
  <c r="V365"/>
  <c r="L364"/>
  <c r="L425" s="1"/>
  <c r="AB363"/>
  <c r="V363"/>
  <c r="P363"/>
  <c r="AB359"/>
  <c r="V359"/>
  <c r="P359"/>
  <c r="AN357"/>
  <c r="AN355"/>
  <c r="AN353"/>
  <c r="AH351"/>
  <c r="AH349"/>
  <c r="AH347"/>
  <c r="AN345"/>
  <c r="AH343"/>
  <c r="AH341"/>
  <c r="AB315"/>
  <c r="V315"/>
  <c r="L314"/>
  <c r="AB310"/>
  <c r="V310"/>
  <c r="J307"/>
  <c r="J426" s="1"/>
  <c r="AB302"/>
  <c r="V302"/>
  <c r="V299"/>
  <c r="J299"/>
  <c r="X298"/>
  <c r="AB296"/>
  <c r="J293"/>
  <c r="J291"/>
  <c r="V288"/>
  <c r="L287"/>
  <c r="AN286"/>
  <c r="J283"/>
  <c r="V281"/>
  <c r="P281"/>
  <c r="X280"/>
  <c r="P278"/>
  <c r="L277"/>
  <c r="AH276"/>
  <c r="AH273"/>
  <c r="P273"/>
  <c r="AN267"/>
  <c r="AN265"/>
  <c r="AB262"/>
  <c r="V262"/>
  <c r="X261"/>
  <c r="P260"/>
  <c r="AN258"/>
  <c r="P258"/>
  <c r="J255"/>
  <c r="L254"/>
  <c r="J252"/>
  <c r="L251"/>
  <c r="L248"/>
  <c r="AB247"/>
  <c r="V247"/>
  <c r="X246"/>
  <c r="X423" s="1"/>
  <c r="AH242"/>
  <c r="P240"/>
  <c r="J240"/>
  <c r="AB238"/>
  <c r="P238"/>
  <c r="AH234"/>
  <c r="J231"/>
  <c r="J228"/>
  <c r="L227"/>
  <c r="J224"/>
  <c r="P222"/>
  <c r="L221"/>
  <c r="V220"/>
  <c r="P220"/>
  <c r="L219"/>
  <c r="V218"/>
  <c r="P218"/>
  <c r="X217"/>
  <c r="P216"/>
  <c r="P214"/>
  <c r="AH212"/>
  <c r="AH210"/>
  <c r="AB208"/>
  <c r="V208"/>
  <c r="AB206"/>
  <c r="V206"/>
  <c r="X205"/>
  <c r="P204"/>
  <c r="L203"/>
  <c r="P197"/>
  <c r="P195"/>
  <c r="R194"/>
  <c r="AH193"/>
  <c r="V193"/>
  <c r="P193"/>
  <c r="P430" s="1"/>
  <c r="R192"/>
  <c r="R429" s="1"/>
  <c r="L192"/>
  <c r="L429" s="1"/>
  <c r="AH191"/>
  <c r="AB191"/>
  <c r="AB189"/>
  <c r="J186"/>
  <c r="J183"/>
  <c r="J424" s="1"/>
  <c r="L182"/>
  <c r="V181"/>
  <c r="P179"/>
  <c r="AB177"/>
  <c r="V177"/>
  <c r="V175"/>
  <c r="P175"/>
  <c r="P173"/>
  <c r="AH169"/>
  <c r="AB169"/>
  <c r="V169"/>
  <c r="AN167"/>
  <c r="AB167"/>
  <c r="V167"/>
  <c r="P167"/>
  <c r="V164"/>
  <c r="L163"/>
  <c r="AN162"/>
  <c r="V158"/>
  <c r="AN156"/>
  <c r="V154"/>
  <c r="AN152"/>
  <c r="AN149"/>
  <c r="AH145"/>
  <c r="L144"/>
  <c r="L437" s="1"/>
  <c r="V143"/>
  <c r="V428" s="1"/>
  <c r="V141"/>
  <c r="AN139"/>
  <c r="AB139"/>
  <c r="V139"/>
  <c r="AN137"/>
  <c r="P130"/>
  <c r="AH128"/>
  <c r="P128"/>
  <c r="V126"/>
  <c r="AN124"/>
  <c r="V124"/>
  <c r="P124"/>
  <c r="P122"/>
  <c r="AC121"/>
  <c r="P118"/>
  <c r="L105"/>
  <c r="J105"/>
  <c r="L99"/>
  <c r="L97"/>
  <c r="L115"/>
  <c r="L114"/>
  <c r="L113"/>
  <c r="L467" s="1"/>
  <c r="L112"/>
  <c r="L108"/>
  <c r="L107"/>
  <c r="L106"/>
  <c r="L104"/>
  <c r="L103"/>
  <c r="L101"/>
  <c r="J115"/>
  <c r="J114"/>
  <c r="J113"/>
  <c r="J112"/>
  <c r="J108"/>
  <c r="J107"/>
  <c r="J106"/>
  <c r="J104"/>
  <c r="J103"/>
  <c r="J457" s="1"/>
  <c r="J102"/>
  <c r="J101"/>
  <c r="J99"/>
  <c r="J97"/>
  <c r="J100"/>
  <c r="J98"/>
  <c r="J95"/>
  <c r="AB87"/>
  <c r="V87"/>
  <c r="V85"/>
  <c r="V83"/>
  <c r="V81"/>
  <c r="V79"/>
  <c r="F76"/>
  <c r="AH77" s="1"/>
  <c r="AN75"/>
  <c r="J71"/>
  <c r="J96" s="1"/>
  <c r="L70"/>
  <c r="J69"/>
  <c r="J67"/>
  <c r="J65"/>
  <c r="AH63"/>
  <c r="V58"/>
  <c r="V94" s="1"/>
  <c r="J53"/>
  <c r="J93" s="1"/>
  <c r="AB41"/>
  <c r="P41"/>
  <c r="AD40"/>
  <c r="P39"/>
  <c r="AH37"/>
  <c r="AH35"/>
  <c r="AH33"/>
  <c r="AH31"/>
  <c r="AN27"/>
  <c r="AH25"/>
  <c r="AH20"/>
  <c r="P18"/>
  <c r="AB16"/>
  <c r="AD15"/>
  <c r="V14"/>
  <c r="AB12"/>
  <c r="P12"/>
  <c r="P94" s="1"/>
  <c r="AD11"/>
  <c r="AH10"/>
  <c r="AH8"/>
  <c r="L468" l="1"/>
  <c r="AB454"/>
  <c r="AB458"/>
  <c r="AB462"/>
  <c r="AB466"/>
  <c r="AP458"/>
  <c r="AP462"/>
  <c r="AP466"/>
  <c r="P424"/>
  <c r="V424"/>
  <c r="L423"/>
  <c r="L447" s="1"/>
  <c r="P462"/>
  <c r="P466"/>
  <c r="J450"/>
  <c r="P458"/>
  <c r="J452"/>
  <c r="J460"/>
  <c r="J467"/>
  <c r="J456"/>
  <c r="J461"/>
  <c r="J468"/>
  <c r="X459"/>
  <c r="X467"/>
  <c r="R459"/>
  <c r="R467"/>
  <c r="P455"/>
  <c r="P459"/>
  <c r="P467"/>
  <c r="L457"/>
  <c r="L462"/>
  <c r="R460"/>
  <c r="R464"/>
  <c r="R468"/>
  <c r="X460"/>
  <c r="X464"/>
  <c r="X468"/>
  <c r="AD459"/>
  <c r="AD467"/>
  <c r="AJ457"/>
  <c r="AJ461"/>
  <c r="AJ465"/>
  <c r="AJ469"/>
  <c r="AP459"/>
  <c r="AP467"/>
  <c r="V454"/>
  <c r="V458"/>
  <c r="V462"/>
  <c r="V466"/>
  <c r="J455"/>
  <c r="J459"/>
  <c r="J458"/>
  <c r="AB452"/>
  <c r="AB456"/>
  <c r="AB460"/>
  <c r="AB464"/>
  <c r="AB468"/>
  <c r="AN457"/>
  <c r="AN461"/>
  <c r="AN466"/>
  <c r="V459"/>
  <c r="V463"/>
  <c r="V455"/>
  <c r="V467"/>
  <c r="J454"/>
  <c r="L459"/>
  <c r="AH465"/>
  <c r="AH469"/>
  <c r="L460"/>
  <c r="X462"/>
  <c r="AD457"/>
  <c r="AD461"/>
  <c r="AP447"/>
  <c r="AP455"/>
  <c r="R449"/>
  <c r="X453"/>
  <c r="L466"/>
  <c r="AB448"/>
  <c r="AB453"/>
  <c r="AB457"/>
  <c r="AB461"/>
  <c r="AB465"/>
  <c r="AB469"/>
  <c r="R451"/>
  <c r="X455"/>
  <c r="AD453"/>
  <c r="AP453"/>
  <c r="AB447"/>
  <c r="AD451"/>
  <c r="P447"/>
  <c r="V451"/>
  <c r="J451"/>
  <c r="L451"/>
  <c r="L463"/>
  <c r="P449"/>
  <c r="P453"/>
  <c r="P457"/>
  <c r="P461"/>
  <c r="P465"/>
  <c r="P469"/>
  <c r="V456"/>
  <c r="V460"/>
  <c r="V464"/>
  <c r="V468"/>
  <c r="AB449"/>
  <c r="AN451"/>
  <c r="R463"/>
  <c r="X463"/>
  <c r="L458"/>
  <c r="P452"/>
  <c r="AD95"/>
  <c r="J449"/>
  <c r="J453"/>
  <c r="J466"/>
  <c r="L455"/>
  <c r="L461"/>
  <c r="L453"/>
  <c r="R447"/>
  <c r="P454"/>
  <c r="V447"/>
  <c r="V453"/>
  <c r="AB451"/>
  <c r="AN447"/>
  <c r="R455"/>
  <c r="X451"/>
  <c r="AD447"/>
  <c r="AP465"/>
  <c r="AP463"/>
  <c r="AJ463"/>
  <c r="AD463"/>
  <c r="AD465"/>
  <c r="AP451"/>
  <c r="AN453"/>
  <c r="AN455"/>
  <c r="AN459"/>
  <c r="AN468"/>
  <c r="AN448"/>
  <c r="AN449"/>
  <c r="AP449"/>
  <c r="AP457"/>
  <c r="AP461"/>
  <c r="AP469"/>
  <c r="AN458"/>
  <c r="AN462"/>
  <c r="AN467"/>
  <c r="AN456"/>
  <c r="AN460"/>
  <c r="AN469"/>
  <c r="AH455"/>
  <c r="AH459"/>
  <c r="AH468"/>
  <c r="AH460"/>
  <c r="AH456"/>
  <c r="AH451"/>
  <c r="AH457"/>
  <c r="AH461"/>
  <c r="AH466"/>
  <c r="AJ453"/>
  <c r="AJ459"/>
  <c r="AJ467"/>
  <c r="AJ447"/>
  <c r="AJ455"/>
  <c r="AJ449"/>
  <c r="AH449"/>
  <c r="AH467"/>
  <c r="AH458"/>
  <c r="AH462"/>
  <c r="AH447"/>
  <c r="AH452"/>
  <c r="AH448"/>
  <c r="AH453"/>
  <c r="L469"/>
  <c r="P451"/>
  <c r="V449"/>
  <c r="AH454"/>
  <c r="L465"/>
  <c r="R453"/>
  <c r="X457"/>
  <c r="X461"/>
  <c r="X465"/>
  <c r="X469"/>
  <c r="AP446"/>
  <c r="X458"/>
  <c r="X466"/>
  <c r="J465"/>
  <c r="P456"/>
  <c r="P460"/>
  <c r="P464"/>
  <c r="P468"/>
  <c r="J464"/>
  <c r="AN464"/>
  <c r="AJ446"/>
  <c r="AB96"/>
  <c r="J54"/>
  <c r="J94" s="1"/>
  <c r="AN96"/>
  <c r="J462"/>
  <c r="J469"/>
  <c r="R457"/>
  <c r="R461"/>
  <c r="R465"/>
  <c r="R469"/>
  <c r="AD92"/>
  <c r="X447"/>
  <c r="AD455"/>
  <c r="AD460"/>
  <c r="AD464"/>
  <c r="AD468"/>
  <c r="AJ451"/>
  <c r="AJ458"/>
  <c r="AJ462"/>
  <c r="AJ466"/>
  <c r="AP460"/>
  <c r="AP464"/>
  <c r="AP468"/>
  <c r="AH96"/>
  <c r="AH426"/>
  <c r="AB426"/>
  <c r="X425"/>
  <c r="X449" s="1"/>
  <c r="R422"/>
  <c r="R446" s="1"/>
  <c r="V452"/>
  <c r="AN454"/>
  <c r="V426"/>
  <c r="P426"/>
  <c r="P450" s="1"/>
  <c r="E446"/>
  <c r="F92"/>
  <c r="F446" s="1"/>
  <c r="V96"/>
  <c r="AH439"/>
  <c r="L422"/>
  <c r="L92"/>
  <c r="AD422"/>
  <c r="AN426"/>
  <c r="X422"/>
  <c r="X446" s="1"/>
  <c r="L95"/>
  <c r="V448" l="1"/>
  <c r="J447"/>
  <c r="AN450"/>
  <c r="AB450"/>
  <c r="L449"/>
  <c r="P448"/>
  <c r="AD449"/>
  <c r="J448"/>
  <c r="V450"/>
  <c r="AD446"/>
  <c r="L446"/>
  <c r="AH450"/>
  <c r="AN420"/>
  <c r="AN421" l="1"/>
  <c r="AN439"/>
  <c r="AQ155" i="3"/>
  <c r="AO155"/>
  <c r="AK155"/>
  <c r="AI155"/>
  <c r="AE155"/>
  <c r="AC155"/>
  <c r="Y155"/>
  <c r="W155"/>
  <c r="S155"/>
  <c r="Q155"/>
  <c r="M155"/>
  <c r="K155"/>
  <c r="AQ649" i="1"/>
  <c r="AO649"/>
  <c r="AO648"/>
  <c r="AQ647"/>
  <c r="AC45"/>
  <c r="AC48"/>
  <c r="AC57"/>
  <c r="AC318"/>
  <c r="AC399"/>
  <c r="AC467"/>
  <c r="AC484"/>
  <c r="AQ646"/>
  <c r="AO646"/>
  <c r="AQ645"/>
  <c r="AO645"/>
  <c r="AQ644"/>
  <c r="AO644"/>
  <c r="AQ643"/>
  <c r="AO643"/>
  <c r="AQ642"/>
  <c r="AO642"/>
  <c r="AI649"/>
  <c r="AK648"/>
  <c r="AI648"/>
  <c r="AK647"/>
  <c r="AI647"/>
  <c r="AK646"/>
  <c r="AI646"/>
  <c r="AI645"/>
  <c r="AK644"/>
  <c r="AI644"/>
  <c r="AI643"/>
  <c r="AK642"/>
  <c r="AI642"/>
  <c r="AE649"/>
  <c r="AC649"/>
  <c r="AE648"/>
  <c r="AC648"/>
  <c r="AE647"/>
  <c r="AC647"/>
  <c r="AE646"/>
  <c r="AC646"/>
  <c r="AE645"/>
  <c r="AC645"/>
  <c r="AC644"/>
  <c r="AE643"/>
  <c r="AC643"/>
  <c r="AE642"/>
  <c r="AC642"/>
  <c r="W649"/>
  <c r="W648"/>
  <c r="W647"/>
  <c r="W646"/>
  <c r="W645"/>
  <c r="W644"/>
  <c r="W643"/>
  <c r="W642"/>
  <c r="K649"/>
  <c r="M648"/>
  <c r="K648"/>
  <c r="M603"/>
  <c r="M647" s="1"/>
  <c r="M646"/>
  <c r="K646"/>
  <c r="M645"/>
  <c r="M644"/>
  <c r="K644"/>
  <c r="M643"/>
  <c r="K642"/>
  <c r="Q80"/>
  <c r="Q516"/>
  <c r="AQ605"/>
  <c r="AK353"/>
  <c r="AK605" s="1"/>
  <c r="AE10"/>
  <c r="AE40"/>
  <c r="AE45"/>
  <c r="AE48"/>
  <c r="AE57"/>
  <c r="AE60"/>
  <c r="Y10"/>
  <c r="Y605" s="1"/>
  <c r="S642"/>
  <c r="S643"/>
  <c r="S644"/>
  <c r="S645"/>
  <c r="S646"/>
  <c r="S647"/>
  <c r="S648"/>
  <c r="S649"/>
  <c r="H520" i="6"/>
  <c r="AR92" i="2"/>
  <c r="Q55" i="1"/>
  <c r="AI349"/>
  <c r="AI353"/>
  <c r="M284"/>
  <c r="M290"/>
  <c r="AC8" i="3"/>
  <c r="K328" i="1"/>
  <c r="Q160" i="3"/>
  <c r="K160"/>
  <c r="AQ160"/>
  <c r="AK160"/>
  <c r="AI160"/>
  <c r="AE160"/>
  <c r="AC160"/>
  <c r="W160"/>
  <c r="Y160"/>
  <c r="Q647" i="1"/>
  <c r="AO641"/>
  <c r="AO640"/>
  <c r="AO639"/>
  <c r="AO638"/>
  <c r="AO637"/>
  <c r="AO635"/>
  <c r="AO634"/>
  <c r="AI641"/>
  <c r="AK640"/>
  <c r="AI639"/>
  <c r="AI637"/>
  <c r="AI635"/>
  <c r="AC641"/>
  <c r="AC640"/>
  <c r="AC639"/>
  <c r="AC637"/>
  <c r="AC635"/>
  <c r="W641"/>
  <c r="W640"/>
  <c r="W639"/>
  <c r="Y638"/>
  <c r="W638"/>
  <c r="W637"/>
  <c r="W635"/>
  <c r="Y634"/>
  <c r="Q590"/>
  <c r="Q641" s="1"/>
  <c r="S640"/>
  <c r="Q640"/>
  <c r="Q639"/>
  <c r="S638"/>
  <c r="Q637"/>
  <c r="S636"/>
  <c r="Q70"/>
  <c r="Q378"/>
  <c r="Q443"/>
  <c r="Q498"/>
  <c r="Q500"/>
  <c r="Q502"/>
  <c r="Q504"/>
  <c r="Q506"/>
  <c r="Q508"/>
  <c r="Q510"/>
  <c r="Q514"/>
  <c r="Q520"/>
  <c r="Q522"/>
  <c r="Q524"/>
  <c r="Q530"/>
  <c r="Q538"/>
  <c r="Q558"/>
  <c r="Q562"/>
  <c r="Q574"/>
  <c r="M640"/>
  <c r="M638"/>
  <c r="M636"/>
  <c r="AQ162" i="3"/>
  <c r="AO162"/>
  <c r="AQ161"/>
  <c r="AO161"/>
  <c r="AQ159"/>
  <c r="AO159"/>
  <c r="AQ158"/>
  <c r="AO158"/>
  <c r="AQ157"/>
  <c r="AO157"/>
  <c r="AQ156"/>
  <c r="AO156"/>
  <c r="AQ154"/>
  <c r="AO154"/>
  <c r="AO153"/>
  <c r="AQ152"/>
  <c r="AO152"/>
  <c r="AO151"/>
  <c r="AQ150"/>
  <c r="AO150"/>
  <c r="AO149"/>
  <c r="AQ148"/>
  <c r="AO148"/>
  <c r="AQ145"/>
  <c r="AK162"/>
  <c r="AI162"/>
  <c r="AK161"/>
  <c r="AI161"/>
  <c r="AK159"/>
  <c r="AI159"/>
  <c r="AK158"/>
  <c r="AI158"/>
  <c r="AK157"/>
  <c r="AI157"/>
  <c r="AK156"/>
  <c r="AI156"/>
  <c r="AK154"/>
  <c r="AI154"/>
  <c r="AI153"/>
  <c r="AK152"/>
  <c r="AI152"/>
  <c r="AI151"/>
  <c r="AK150"/>
  <c r="AI150"/>
  <c r="AI149"/>
  <c r="AI148"/>
  <c r="AE162"/>
  <c r="AC162"/>
  <c r="AE161"/>
  <c r="AC161"/>
  <c r="AE159"/>
  <c r="AC159"/>
  <c r="AE158"/>
  <c r="AC158"/>
  <c r="AE157"/>
  <c r="AC157"/>
  <c r="AE156"/>
  <c r="AC156"/>
  <c r="AE154"/>
  <c r="AC154"/>
  <c r="AC153"/>
  <c r="AE152"/>
  <c r="AC152"/>
  <c r="AC151"/>
  <c r="AE150"/>
  <c r="AC150"/>
  <c r="AC148"/>
  <c r="Y162"/>
  <c r="W162"/>
  <c r="Y161"/>
  <c r="W161"/>
  <c r="Y159"/>
  <c r="W159"/>
  <c r="Y158"/>
  <c r="W158"/>
  <c r="Y157"/>
  <c r="W157"/>
  <c r="Y156"/>
  <c r="W156"/>
  <c r="Y154"/>
  <c r="W154"/>
  <c r="W153"/>
  <c r="Y152"/>
  <c r="W152"/>
  <c r="W151"/>
  <c r="Y150"/>
  <c r="W150"/>
  <c r="W149"/>
  <c r="Y148"/>
  <c r="W148"/>
  <c r="Y145"/>
  <c r="S162"/>
  <c r="Q162"/>
  <c r="S161"/>
  <c r="Q161"/>
  <c r="S159"/>
  <c r="Q159"/>
  <c r="S158"/>
  <c r="Q158"/>
  <c r="S157"/>
  <c r="Q157"/>
  <c r="S156"/>
  <c r="Q156"/>
  <c r="S154"/>
  <c r="Q154"/>
  <c r="Q9"/>
  <c r="Q153" s="1"/>
  <c r="S152"/>
  <c r="Q152"/>
  <c r="Q73"/>
  <c r="Q80"/>
  <c r="S150"/>
  <c r="Q150"/>
  <c r="Q149"/>
  <c r="S148"/>
  <c r="Q148"/>
  <c r="M162"/>
  <c r="K162"/>
  <c r="M161"/>
  <c r="K161"/>
  <c r="M159"/>
  <c r="K159"/>
  <c r="M158"/>
  <c r="K158"/>
  <c r="M157"/>
  <c r="K157"/>
  <c r="M156"/>
  <c r="K156"/>
  <c r="M154"/>
  <c r="K154"/>
  <c r="K9"/>
  <c r="K153" s="1"/>
  <c r="K152"/>
  <c r="K151"/>
  <c r="K150"/>
  <c r="K77"/>
  <c r="K149" s="1"/>
  <c r="K148"/>
  <c r="G137"/>
  <c r="K140" s="1"/>
  <c r="G605" i="1"/>
  <c r="G628"/>
  <c r="F36"/>
  <c r="F143"/>
  <c r="F625"/>
  <c r="F628" s="1"/>
  <c r="E409"/>
  <c r="E605" s="1"/>
  <c r="E626"/>
  <c r="E627"/>
  <c r="D36"/>
  <c r="D143"/>
  <c r="D628"/>
  <c r="AN640"/>
  <c r="AN638"/>
  <c r="AN636"/>
  <c r="AN634"/>
  <c r="AH640"/>
  <c r="AH638"/>
  <c r="AH636"/>
  <c r="AH634"/>
  <c r="AB640"/>
  <c r="AB638"/>
  <c r="AB636"/>
  <c r="AB634"/>
  <c r="V640"/>
  <c r="V638"/>
  <c r="V636"/>
  <c r="V634"/>
  <c r="P640"/>
  <c r="P638"/>
  <c r="P636"/>
  <c r="P634"/>
  <c r="K285"/>
  <c r="K291"/>
  <c r="J634"/>
  <c r="L634"/>
  <c r="R634"/>
  <c r="X634"/>
  <c r="AD634"/>
  <c r="AJ634"/>
  <c r="AL634"/>
  <c r="AM634"/>
  <c r="AP634"/>
  <c r="L635"/>
  <c r="M635"/>
  <c r="R635"/>
  <c r="S635"/>
  <c r="X635"/>
  <c r="Y635"/>
  <c r="AD635"/>
  <c r="AE635"/>
  <c r="AJ635"/>
  <c r="AK635"/>
  <c r="AL635"/>
  <c r="AM635"/>
  <c r="AP635"/>
  <c r="AQ635"/>
  <c r="J636"/>
  <c r="L636"/>
  <c r="R636"/>
  <c r="X636"/>
  <c r="AD636"/>
  <c r="AE636"/>
  <c r="AJ636"/>
  <c r="AL636"/>
  <c r="AM636"/>
  <c r="AP636"/>
  <c r="K637"/>
  <c r="L637"/>
  <c r="M637"/>
  <c r="R637"/>
  <c r="S637"/>
  <c r="X637"/>
  <c r="Y637"/>
  <c r="AD637"/>
  <c r="AE637"/>
  <c r="AJ637"/>
  <c r="AK637"/>
  <c r="AL637"/>
  <c r="AM637"/>
  <c r="AP637"/>
  <c r="AQ637"/>
  <c r="J638"/>
  <c r="L638"/>
  <c r="R638"/>
  <c r="X638"/>
  <c r="AD638"/>
  <c r="AJ638"/>
  <c r="AL638"/>
  <c r="AM638"/>
  <c r="AP638"/>
  <c r="K639"/>
  <c r="L639"/>
  <c r="M639"/>
  <c r="R639"/>
  <c r="S639"/>
  <c r="X639"/>
  <c r="Y639"/>
  <c r="AD639"/>
  <c r="AE639"/>
  <c r="AJ639"/>
  <c r="AK639"/>
  <c r="AL639"/>
  <c r="AM639"/>
  <c r="AP639"/>
  <c r="AQ639"/>
  <c r="J640"/>
  <c r="L640"/>
  <c r="R640"/>
  <c r="X640"/>
  <c r="AD640"/>
  <c r="AJ640"/>
  <c r="AL640"/>
  <c r="AM640"/>
  <c r="AP640"/>
  <c r="K641"/>
  <c r="L641"/>
  <c r="M641"/>
  <c r="R641"/>
  <c r="S641"/>
  <c r="X641"/>
  <c r="Y641"/>
  <c r="AD641"/>
  <c r="AE641"/>
  <c r="AJ641"/>
  <c r="AK641"/>
  <c r="AL641"/>
  <c r="AM641"/>
  <c r="AP641"/>
  <c r="AQ641"/>
  <c r="J642"/>
  <c r="L642"/>
  <c r="P642"/>
  <c r="Q642"/>
  <c r="R642"/>
  <c r="V642"/>
  <c r="X642"/>
  <c r="Y642"/>
  <c r="AB642"/>
  <c r="AD642"/>
  <c r="AH642"/>
  <c r="AJ642"/>
  <c r="AL642"/>
  <c r="AM642"/>
  <c r="AN642"/>
  <c r="AP642"/>
  <c r="J643"/>
  <c r="K643"/>
  <c r="L643"/>
  <c r="P643"/>
  <c r="Q643"/>
  <c r="R643"/>
  <c r="V643"/>
  <c r="X643"/>
  <c r="Y643"/>
  <c r="AB643"/>
  <c r="AD643"/>
  <c r="AH643"/>
  <c r="AJ643"/>
  <c r="AK643"/>
  <c r="AL643"/>
  <c r="AM643"/>
  <c r="AN643"/>
  <c r="AP643"/>
  <c r="J644"/>
  <c r="L644"/>
  <c r="P644"/>
  <c r="Q644"/>
  <c r="R644"/>
  <c r="V644"/>
  <c r="X644"/>
  <c r="Y644"/>
  <c r="AB644"/>
  <c r="AD644"/>
  <c r="AE644"/>
  <c r="AH644"/>
  <c r="AJ644"/>
  <c r="AL644"/>
  <c r="AM644"/>
  <c r="AN644"/>
  <c r="AP644"/>
  <c r="J645"/>
  <c r="K645"/>
  <c r="L645"/>
  <c r="P645"/>
  <c r="Q645"/>
  <c r="R645"/>
  <c r="V645"/>
  <c r="X645"/>
  <c r="Y645"/>
  <c r="AB645"/>
  <c r="AD645"/>
  <c r="AH645"/>
  <c r="AJ645"/>
  <c r="AK645"/>
  <c r="AL645"/>
  <c r="AM645"/>
  <c r="AN645"/>
  <c r="AP645"/>
  <c r="J646"/>
  <c r="L646"/>
  <c r="P646"/>
  <c r="Q646"/>
  <c r="R646"/>
  <c r="V646"/>
  <c r="X646"/>
  <c r="Y646"/>
  <c r="AB646"/>
  <c r="AD646"/>
  <c r="AH646"/>
  <c r="AJ646"/>
  <c r="AL646"/>
  <c r="AM646"/>
  <c r="AN646"/>
  <c r="AP646"/>
  <c r="J647"/>
  <c r="K647"/>
  <c r="L647"/>
  <c r="P647"/>
  <c r="R647"/>
  <c r="V647"/>
  <c r="X647"/>
  <c r="Y647"/>
  <c r="AB647"/>
  <c r="AD647"/>
  <c r="AH647"/>
  <c r="AJ647"/>
  <c r="AL647"/>
  <c r="AM647"/>
  <c r="AN647"/>
  <c r="AP647"/>
  <c r="J648"/>
  <c r="L648"/>
  <c r="P648"/>
  <c r="Q648"/>
  <c r="R648"/>
  <c r="V648"/>
  <c r="X648"/>
  <c r="Y648"/>
  <c r="AB648"/>
  <c r="AD648"/>
  <c r="AH648"/>
  <c r="AJ648"/>
  <c r="AL648"/>
  <c r="AM648"/>
  <c r="AN648"/>
  <c r="AP648"/>
  <c r="J649"/>
  <c r="L649"/>
  <c r="M649"/>
  <c r="P649"/>
  <c r="Q649"/>
  <c r="R649"/>
  <c r="V649"/>
  <c r="X649"/>
  <c r="Y649"/>
  <c r="AB649"/>
  <c r="AD649"/>
  <c r="AH649"/>
  <c r="AJ649"/>
  <c r="AK649"/>
  <c r="AL649"/>
  <c r="AM649"/>
  <c r="AN649"/>
  <c r="AP649"/>
  <c r="AK148" i="3"/>
  <c r="AE148"/>
  <c r="S143"/>
  <c r="S145" s="1"/>
  <c r="M152"/>
  <c r="M150"/>
  <c r="M34"/>
  <c r="M148" s="1"/>
  <c r="M143"/>
  <c r="M160" s="1"/>
  <c r="AH90" i="2"/>
  <c r="V91"/>
  <c r="P91"/>
  <c r="F8" i="4"/>
  <c r="AQ91" i="2"/>
  <c r="O148" i="6"/>
  <c r="O104"/>
  <c r="O11"/>
  <c r="P69" i="8"/>
  <c r="N69"/>
  <c r="L69"/>
  <c r="F69"/>
  <c r="E69"/>
  <c r="M67"/>
  <c r="J67"/>
  <c r="M66"/>
  <c r="J66"/>
  <c r="M65"/>
  <c r="J65"/>
  <c r="M64"/>
  <c r="J64"/>
  <c r="M63"/>
  <c r="J63"/>
  <c r="M62"/>
  <c r="J62"/>
  <c r="M61"/>
  <c r="J61"/>
  <c r="M60"/>
  <c r="J60"/>
  <c r="M59"/>
  <c r="J59"/>
  <c r="M58"/>
  <c r="J58"/>
  <c r="M57"/>
  <c r="J57"/>
  <c r="M56"/>
  <c r="J56"/>
  <c r="M55"/>
  <c r="J55"/>
  <c r="M54"/>
  <c r="J54"/>
  <c r="M53"/>
  <c r="J53"/>
  <c r="M52"/>
  <c r="J52"/>
  <c r="M51"/>
  <c r="J51"/>
  <c r="M50"/>
  <c r="J50"/>
  <c r="M49"/>
  <c r="J49"/>
  <c r="M48"/>
  <c r="J48"/>
  <c r="M47"/>
  <c r="J47"/>
  <c r="M46"/>
  <c r="J46"/>
  <c r="M45"/>
  <c r="J45"/>
  <c r="M44"/>
  <c r="J44"/>
  <c r="M43"/>
  <c r="J43"/>
  <c r="M42"/>
  <c r="J42"/>
  <c r="M41"/>
  <c r="J41"/>
  <c r="M40"/>
  <c r="J40"/>
  <c r="M39"/>
  <c r="J39"/>
  <c r="M38"/>
  <c r="J38"/>
  <c r="I37"/>
  <c r="J37" s="1"/>
  <c r="I69"/>
  <c r="M36"/>
  <c r="J36"/>
  <c r="M35"/>
  <c r="J35"/>
  <c r="M34"/>
  <c r="J34"/>
  <c r="M33"/>
  <c r="J33"/>
  <c r="M32"/>
  <c r="J32"/>
  <c r="M31"/>
  <c r="J31"/>
  <c r="M30"/>
  <c r="J30"/>
  <c r="M29"/>
  <c r="J29"/>
  <c r="M28"/>
  <c r="J28"/>
  <c r="M27"/>
  <c r="J27"/>
  <c r="M26"/>
  <c r="J26"/>
  <c r="M25"/>
  <c r="J25"/>
  <c r="M24"/>
  <c r="J24"/>
  <c r="M23"/>
  <c r="J23"/>
  <c r="M22"/>
  <c r="J22"/>
  <c r="M21"/>
  <c r="J21"/>
  <c r="M20"/>
  <c r="J20"/>
  <c r="M19"/>
  <c r="J19"/>
  <c r="M18"/>
  <c r="J18"/>
  <c r="M17"/>
  <c r="J17"/>
  <c r="M16"/>
  <c r="J16"/>
  <c r="M15"/>
  <c r="J15"/>
  <c r="M14"/>
  <c r="J14"/>
  <c r="M13"/>
  <c r="J13"/>
  <c r="M12"/>
  <c r="J12"/>
  <c r="M11"/>
  <c r="J11"/>
  <c r="M10"/>
  <c r="J10"/>
  <c r="M9"/>
  <c r="J9"/>
  <c r="E520" i="6"/>
  <c r="O518"/>
  <c r="K518"/>
  <c r="I518"/>
  <c r="O517"/>
  <c r="K517"/>
  <c r="I517"/>
  <c r="O516"/>
  <c r="M516"/>
  <c r="K516"/>
  <c r="I516"/>
  <c r="O515"/>
  <c r="K515"/>
  <c r="I515"/>
  <c r="O514"/>
  <c r="M514"/>
  <c r="K514"/>
  <c r="I514"/>
  <c r="O513"/>
  <c r="M513"/>
  <c r="K513"/>
  <c r="I513"/>
  <c r="O512"/>
  <c r="K512"/>
  <c r="I512"/>
  <c r="O511"/>
  <c r="K511"/>
  <c r="I511"/>
  <c r="O510"/>
  <c r="M510"/>
  <c r="K510"/>
  <c r="I510"/>
  <c r="O509"/>
  <c r="M509"/>
  <c r="K509"/>
  <c r="I509"/>
  <c r="O508"/>
  <c r="K508"/>
  <c r="O507"/>
  <c r="M507"/>
  <c r="K507"/>
  <c r="I507"/>
  <c r="O506"/>
  <c r="M506"/>
  <c r="K506"/>
  <c r="O505"/>
  <c r="M505"/>
  <c r="K505"/>
  <c r="I505"/>
  <c r="O504"/>
  <c r="M504"/>
  <c r="K504"/>
  <c r="O503"/>
  <c r="M503"/>
  <c r="K503"/>
  <c r="I503"/>
  <c r="O502"/>
  <c r="K502"/>
  <c r="O501"/>
  <c r="M501"/>
  <c r="K501"/>
  <c r="I501"/>
  <c r="O500"/>
  <c r="K500"/>
  <c r="I500"/>
  <c r="O499"/>
  <c r="M499"/>
  <c r="K499"/>
  <c r="I499"/>
  <c r="O498"/>
  <c r="M498"/>
  <c r="K498"/>
  <c r="I498"/>
  <c r="O497"/>
  <c r="M497"/>
  <c r="K497"/>
  <c r="I497"/>
  <c r="O496"/>
  <c r="M496"/>
  <c r="K496"/>
  <c r="I496"/>
  <c r="O495"/>
  <c r="M495"/>
  <c r="K495"/>
  <c r="I495"/>
  <c r="O494"/>
  <c r="M494"/>
  <c r="K494"/>
  <c r="I494"/>
  <c r="O493"/>
  <c r="K493"/>
  <c r="I493"/>
  <c r="O492"/>
  <c r="M492"/>
  <c r="K492"/>
  <c r="I492"/>
  <c r="O491"/>
  <c r="M491"/>
  <c r="K491"/>
  <c r="I491"/>
  <c r="O490"/>
  <c r="M490"/>
  <c r="K490"/>
  <c r="I490"/>
  <c r="O489"/>
  <c r="M489"/>
  <c r="K489"/>
  <c r="I489"/>
  <c r="O488"/>
  <c r="M488"/>
  <c r="K488"/>
  <c r="I488"/>
  <c r="O487"/>
  <c r="M487"/>
  <c r="K487"/>
  <c r="I487"/>
  <c r="O486"/>
  <c r="K486"/>
  <c r="I486"/>
  <c r="O485"/>
  <c r="M485"/>
  <c r="K485"/>
  <c r="I485"/>
  <c r="O484"/>
  <c r="M484"/>
  <c r="K484"/>
  <c r="I484"/>
  <c r="O483"/>
  <c r="M483"/>
  <c r="K483"/>
  <c r="I483"/>
  <c r="O482"/>
  <c r="M482"/>
  <c r="K482"/>
  <c r="I482"/>
  <c r="O481"/>
  <c r="K481"/>
  <c r="I481"/>
  <c r="O480"/>
  <c r="M480"/>
  <c r="K480"/>
  <c r="I480"/>
  <c r="O479"/>
  <c r="K479"/>
  <c r="O478"/>
  <c r="K478"/>
  <c r="I478"/>
  <c r="O477"/>
  <c r="M477"/>
  <c r="K477"/>
  <c r="I477"/>
  <c r="O476"/>
  <c r="K476"/>
  <c r="I476"/>
  <c r="O475"/>
  <c r="K475"/>
  <c r="I475"/>
  <c r="O474"/>
  <c r="M474"/>
  <c r="K474"/>
  <c r="I474"/>
  <c r="D473"/>
  <c r="O472"/>
  <c r="K472"/>
  <c r="I472"/>
  <c r="O471"/>
  <c r="M471"/>
  <c r="K471"/>
  <c r="I471"/>
  <c r="O470"/>
  <c r="M470"/>
  <c r="K470"/>
  <c r="O469"/>
  <c r="M469"/>
  <c r="K469"/>
  <c r="O468"/>
  <c r="K468"/>
  <c r="I468"/>
  <c r="O467"/>
  <c r="M467"/>
  <c r="K467"/>
  <c r="I467"/>
  <c r="O466"/>
  <c r="M466"/>
  <c r="K466"/>
  <c r="I466"/>
  <c r="O465"/>
  <c r="M465"/>
  <c r="K465"/>
  <c r="I465"/>
  <c r="O464"/>
  <c r="M464"/>
  <c r="K464"/>
  <c r="I464"/>
  <c r="O463"/>
  <c r="M463"/>
  <c r="K463"/>
  <c r="I463"/>
  <c r="O462"/>
  <c r="M462"/>
  <c r="K462"/>
  <c r="I462"/>
  <c r="O461"/>
  <c r="M461"/>
  <c r="K461"/>
  <c r="I461"/>
  <c r="O460"/>
  <c r="M460"/>
  <c r="K460"/>
  <c r="I460"/>
  <c r="O459"/>
  <c r="M459"/>
  <c r="K459"/>
  <c r="I459"/>
  <c r="O458"/>
  <c r="M458"/>
  <c r="K458"/>
  <c r="I458"/>
  <c r="O457"/>
  <c r="M457"/>
  <c r="K457"/>
  <c r="I457"/>
  <c r="O456"/>
  <c r="K456"/>
  <c r="I456"/>
  <c r="O455"/>
  <c r="M455"/>
  <c r="K455"/>
  <c r="O454"/>
  <c r="M454"/>
  <c r="K454"/>
  <c r="I454"/>
  <c r="O453"/>
  <c r="M453"/>
  <c r="K453"/>
  <c r="I453"/>
  <c r="O452"/>
  <c r="K452"/>
  <c r="O451"/>
  <c r="M451"/>
  <c r="K451"/>
  <c r="O450"/>
  <c r="M450"/>
  <c r="K450"/>
  <c r="I450"/>
  <c r="O449"/>
  <c r="M449"/>
  <c r="K449"/>
  <c r="O448"/>
  <c r="K448"/>
  <c r="O447"/>
  <c r="K447"/>
  <c r="I447"/>
  <c r="O446"/>
  <c r="M446"/>
  <c r="K446"/>
  <c r="I446"/>
  <c r="O445"/>
  <c r="K445"/>
  <c r="I445"/>
  <c r="O444"/>
  <c r="K444"/>
  <c r="I444"/>
  <c r="O443"/>
  <c r="M443"/>
  <c r="K443"/>
  <c r="I443"/>
  <c r="O442"/>
  <c r="M442"/>
  <c r="K442"/>
  <c r="I442"/>
  <c r="O441"/>
  <c r="M441"/>
  <c r="K441"/>
  <c r="O440"/>
  <c r="M440"/>
  <c r="K440"/>
  <c r="I440"/>
  <c r="O439"/>
  <c r="M439"/>
  <c r="K439"/>
  <c r="O438"/>
  <c r="M438"/>
  <c r="K438"/>
  <c r="I438"/>
  <c r="O437"/>
  <c r="M437"/>
  <c r="K437"/>
  <c r="I437"/>
  <c r="O436"/>
  <c r="M436"/>
  <c r="K436"/>
  <c r="O435"/>
  <c r="M435"/>
  <c r="K435"/>
  <c r="I435"/>
  <c r="O434"/>
  <c r="M434"/>
  <c r="K434"/>
  <c r="I434"/>
  <c r="O433"/>
  <c r="M433"/>
  <c r="K433"/>
  <c r="I433"/>
  <c r="O432"/>
  <c r="K432"/>
  <c r="I432"/>
  <c r="O431"/>
  <c r="K431"/>
  <c r="I431"/>
  <c r="O430"/>
  <c r="K430"/>
  <c r="I430"/>
  <c r="O429"/>
  <c r="K429"/>
  <c r="I429"/>
  <c r="O428"/>
  <c r="K428"/>
  <c r="I428"/>
  <c r="O427"/>
  <c r="K427"/>
  <c r="I427"/>
  <c r="O426"/>
  <c r="M426"/>
  <c r="K426"/>
  <c r="I426"/>
  <c r="O425"/>
  <c r="K425"/>
  <c r="I425"/>
  <c r="O424"/>
  <c r="K424"/>
  <c r="I424"/>
  <c r="O423"/>
  <c r="K423"/>
  <c r="I423"/>
  <c r="O422"/>
  <c r="M422"/>
  <c r="K422"/>
  <c r="I422"/>
  <c r="O421"/>
  <c r="K421"/>
  <c r="I421"/>
  <c r="O420"/>
  <c r="K420"/>
  <c r="I420"/>
  <c r="O419"/>
  <c r="K419"/>
  <c r="I419"/>
  <c r="O418"/>
  <c r="K418"/>
  <c r="I418"/>
  <c r="O417"/>
  <c r="K417"/>
  <c r="I417"/>
  <c r="O416"/>
  <c r="K416"/>
  <c r="O415"/>
  <c r="M415"/>
  <c r="K415"/>
  <c r="I415"/>
  <c r="O414"/>
  <c r="K414"/>
  <c r="I414"/>
  <c r="O413"/>
  <c r="K413"/>
  <c r="I413"/>
  <c r="O412"/>
  <c r="K412"/>
  <c r="O411"/>
  <c r="M411"/>
  <c r="K411"/>
  <c r="I411"/>
  <c r="O410"/>
  <c r="M410"/>
  <c r="K410"/>
  <c r="I410"/>
  <c r="O409"/>
  <c r="K409"/>
  <c r="I409"/>
  <c r="O408"/>
  <c r="K408"/>
  <c r="I408"/>
  <c r="O407"/>
  <c r="K407"/>
  <c r="I407"/>
  <c r="O406"/>
  <c r="K406"/>
  <c r="I406"/>
  <c r="O405"/>
  <c r="K405"/>
  <c r="I405"/>
  <c r="O404"/>
  <c r="K404"/>
  <c r="I404"/>
  <c r="O403"/>
  <c r="K403"/>
  <c r="I403"/>
  <c r="O402"/>
  <c r="K402"/>
  <c r="I402"/>
  <c r="O401"/>
  <c r="K401"/>
  <c r="I401"/>
  <c r="O400"/>
  <c r="K400"/>
  <c r="I400"/>
  <c r="O399"/>
  <c r="K399"/>
  <c r="I399"/>
  <c r="O398"/>
  <c r="K398"/>
  <c r="O397"/>
  <c r="K397"/>
  <c r="I397"/>
  <c r="O396"/>
  <c r="K396"/>
  <c r="I396"/>
  <c r="O395"/>
  <c r="K395"/>
  <c r="I395"/>
  <c r="O394"/>
  <c r="M394"/>
  <c r="K394"/>
  <c r="I394"/>
  <c r="O393"/>
  <c r="K393"/>
  <c r="I393"/>
  <c r="O392"/>
  <c r="M392"/>
  <c r="K392"/>
  <c r="I392"/>
  <c r="O391"/>
  <c r="K391"/>
  <c r="I391"/>
  <c r="O390"/>
  <c r="M390"/>
  <c r="K390"/>
  <c r="I390"/>
  <c r="O389"/>
  <c r="M389"/>
  <c r="K389"/>
  <c r="I389"/>
  <c r="O388"/>
  <c r="K388"/>
  <c r="I388"/>
  <c r="O387"/>
  <c r="M387"/>
  <c r="K387"/>
  <c r="I387"/>
  <c r="O386"/>
  <c r="K386"/>
  <c r="I386"/>
  <c r="O385"/>
  <c r="M385"/>
  <c r="K385"/>
  <c r="I385"/>
  <c r="O384"/>
  <c r="M384"/>
  <c r="K384"/>
  <c r="I384"/>
  <c r="O383"/>
  <c r="K383"/>
  <c r="I383"/>
  <c r="O382"/>
  <c r="M382"/>
  <c r="K382"/>
  <c r="I382"/>
  <c r="O381"/>
  <c r="M381"/>
  <c r="K381"/>
  <c r="I381"/>
  <c r="O380"/>
  <c r="M380"/>
  <c r="K380"/>
  <c r="I380"/>
  <c r="O379"/>
  <c r="M379"/>
  <c r="K379"/>
  <c r="I379"/>
  <c r="O378"/>
  <c r="K378"/>
  <c r="I378"/>
  <c r="O377"/>
  <c r="M377"/>
  <c r="K377"/>
  <c r="I377"/>
  <c r="O376"/>
  <c r="M376"/>
  <c r="K376"/>
  <c r="I376"/>
  <c r="O375"/>
  <c r="K375"/>
  <c r="I375"/>
  <c r="O374"/>
  <c r="K374"/>
  <c r="I374"/>
  <c r="O373"/>
  <c r="M373"/>
  <c r="K373"/>
  <c r="I373"/>
  <c r="O372"/>
  <c r="M372"/>
  <c r="K372"/>
  <c r="I372"/>
  <c r="O371"/>
  <c r="M371"/>
  <c r="K371"/>
  <c r="I371"/>
  <c r="O370"/>
  <c r="M370"/>
  <c r="K370"/>
  <c r="I370"/>
  <c r="O369"/>
  <c r="K369"/>
  <c r="I369"/>
  <c r="O368"/>
  <c r="K368"/>
  <c r="O367"/>
  <c r="K367"/>
  <c r="I367"/>
  <c r="O366"/>
  <c r="M366"/>
  <c r="K366"/>
  <c r="I366"/>
  <c r="O365"/>
  <c r="K365"/>
  <c r="I365"/>
  <c r="O364"/>
  <c r="K364"/>
  <c r="I364"/>
  <c r="O363"/>
  <c r="M363"/>
  <c r="K363"/>
  <c r="I363"/>
  <c r="O362"/>
  <c r="K362"/>
  <c r="I362"/>
  <c r="O361"/>
  <c r="K361"/>
  <c r="I361"/>
  <c r="O360"/>
  <c r="K360"/>
  <c r="I360"/>
  <c r="O359"/>
  <c r="K359"/>
  <c r="I359"/>
  <c r="O358"/>
  <c r="K358"/>
  <c r="I358"/>
  <c r="O357"/>
  <c r="K357"/>
  <c r="I357"/>
  <c r="O356"/>
  <c r="K356"/>
  <c r="I356"/>
  <c r="O355"/>
  <c r="K355"/>
  <c r="I355"/>
  <c r="O354"/>
  <c r="K354"/>
  <c r="I354"/>
  <c r="O353"/>
  <c r="K353"/>
  <c r="I353"/>
  <c r="O352"/>
  <c r="K352"/>
  <c r="I352"/>
  <c r="O351"/>
  <c r="K351"/>
  <c r="I351"/>
  <c r="O350"/>
  <c r="K350"/>
  <c r="I350"/>
  <c r="O349"/>
  <c r="K349"/>
  <c r="O348"/>
  <c r="K348"/>
  <c r="I348"/>
  <c r="O347"/>
  <c r="K347"/>
  <c r="I347"/>
  <c r="O346"/>
  <c r="K346"/>
  <c r="I346"/>
  <c r="O345"/>
  <c r="K345"/>
  <c r="I345"/>
  <c r="O344"/>
  <c r="K344"/>
  <c r="I344"/>
  <c r="O343"/>
  <c r="K343"/>
  <c r="I343"/>
  <c r="O342"/>
  <c r="K342"/>
  <c r="I342"/>
  <c r="O341"/>
  <c r="K341"/>
  <c r="I341"/>
  <c r="O340"/>
  <c r="M340"/>
  <c r="K340"/>
  <c r="O339"/>
  <c r="M339"/>
  <c r="K339"/>
  <c r="I339"/>
  <c r="O338"/>
  <c r="K338"/>
  <c r="I338"/>
  <c r="O337"/>
  <c r="M337"/>
  <c r="K337"/>
  <c r="I337"/>
  <c r="O336"/>
  <c r="K336"/>
  <c r="I336"/>
  <c r="O335"/>
  <c r="K335"/>
  <c r="I335"/>
  <c r="O334"/>
  <c r="K334"/>
  <c r="I334"/>
  <c r="O333"/>
  <c r="M333"/>
  <c r="K333"/>
  <c r="I333"/>
  <c r="O332"/>
  <c r="K332"/>
  <c r="I332"/>
  <c r="O331"/>
  <c r="M331"/>
  <c r="K331"/>
  <c r="I331"/>
  <c r="O330"/>
  <c r="M330"/>
  <c r="K330"/>
  <c r="I330"/>
  <c r="O329"/>
  <c r="M329"/>
  <c r="K329"/>
  <c r="O328"/>
  <c r="M328"/>
  <c r="K328"/>
  <c r="I328"/>
  <c r="O327"/>
  <c r="M327"/>
  <c r="K327"/>
  <c r="I327"/>
  <c r="O326"/>
  <c r="M326"/>
  <c r="K326"/>
  <c r="I326"/>
  <c r="O325"/>
  <c r="M325"/>
  <c r="K325"/>
  <c r="I325"/>
  <c r="O324"/>
  <c r="M324"/>
  <c r="K324"/>
  <c r="I324"/>
  <c r="O323"/>
  <c r="M323"/>
  <c r="K323"/>
  <c r="I323"/>
  <c r="O322"/>
  <c r="M322"/>
  <c r="K322"/>
  <c r="I322"/>
  <c r="O321"/>
  <c r="M321"/>
  <c r="K321"/>
  <c r="I321"/>
  <c r="O320"/>
  <c r="M320"/>
  <c r="K320"/>
  <c r="I320"/>
  <c r="O319"/>
  <c r="M319"/>
  <c r="K319"/>
  <c r="I319"/>
  <c r="O318"/>
  <c r="M318"/>
  <c r="K318"/>
  <c r="I318"/>
  <c r="O317"/>
  <c r="M317"/>
  <c r="K317"/>
  <c r="I317"/>
  <c r="O316"/>
  <c r="M316"/>
  <c r="K316"/>
  <c r="I316"/>
  <c r="O315"/>
  <c r="M315"/>
  <c r="K315"/>
  <c r="I315"/>
  <c r="O314"/>
  <c r="K314"/>
  <c r="I314"/>
  <c r="O313"/>
  <c r="M313"/>
  <c r="K313"/>
  <c r="I313"/>
  <c r="O312"/>
  <c r="K312"/>
  <c r="I312"/>
  <c r="O311"/>
  <c r="K311"/>
  <c r="I311"/>
  <c r="O310"/>
  <c r="K310"/>
  <c r="I310"/>
  <c r="O309"/>
  <c r="M309"/>
  <c r="K309"/>
  <c r="I309"/>
  <c r="O308"/>
  <c r="K308"/>
  <c r="I308"/>
  <c r="O307"/>
  <c r="M307"/>
  <c r="K307"/>
  <c r="I307"/>
  <c r="O306"/>
  <c r="K306"/>
  <c r="I306"/>
  <c r="O305"/>
  <c r="K305"/>
  <c r="I305"/>
  <c r="O304"/>
  <c r="M304"/>
  <c r="K304"/>
  <c r="I304"/>
  <c r="O303"/>
  <c r="K303"/>
  <c r="I303"/>
  <c r="O302"/>
  <c r="K302"/>
  <c r="I302"/>
  <c r="O301"/>
  <c r="K301"/>
  <c r="I301"/>
  <c r="O300"/>
  <c r="M300"/>
  <c r="K300"/>
  <c r="I300"/>
  <c r="O299"/>
  <c r="M299"/>
  <c r="K299"/>
  <c r="I299"/>
  <c r="O298"/>
  <c r="K298"/>
  <c r="I298"/>
  <c r="O297"/>
  <c r="K297"/>
  <c r="I297"/>
  <c r="O296"/>
  <c r="K296"/>
  <c r="I296"/>
  <c r="O295"/>
  <c r="K295"/>
  <c r="I295"/>
  <c r="O294"/>
  <c r="K294"/>
  <c r="I294"/>
  <c r="O293"/>
  <c r="K293"/>
  <c r="I293"/>
  <c r="O292"/>
  <c r="K292"/>
  <c r="I292"/>
  <c r="O291"/>
  <c r="K291"/>
  <c r="I291"/>
  <c r="O290"/>
  <c r="K290"/>
  <c r="I290"/>
  <c r="O289"/>
  <c r="K289"/>
  <c r="I289"/>
  <c r="O288"/>
  <c r="K288"/>
  <c r="I288"/>
  <c r="O287"/>
  <c r="K287"/>
  <c r="I287"/>
  <c r="O286"/>
  <c r="K286"/>
  <c r="I286"/>
  <c r="O285"/>
  <c r="K285"/>
  <c r="I285"/>
  <c r="O284"/>
  <c r="K284"/>
  <c r="I284"/>
  <c r="O283"/>
  <c r="M283"/>
  <c r="K283"/>
  <c r="I283"/>
  <c r="O282"/>
  <c r="K282"/>
  <c r="I282"/>
  <c r="O281"/>
  <c r="K281"/>
  <c r="O280"/>
  <c r="M280"/>
  <c r="K280"/>
  <c r="O279"/>
  <c r="K279"/>
  <c r="I279"/>
  <c r="O278"/>
  <c r="K278"/>
  <c r="I278"/>
  <c r="O277"/>
  <c r="K277"/>
  <c r="I277"/>
  <c r="O276"/>
  <c r="M276"/>
  <c r="K276"/>
  <c r="I276"/>
  <c r="O275"/>
  <c r="K275"/>
  <c r="I275"/>
  <c r="O274"/>
  <c r="M274"/>
  <c r="K274"/>
  <c r="I274"/>
  <c r="O273"/>
  <c r="M273"/>
  <c r="K273"/>
  <c r="I273"/>
  <c r="O272"/>
  <c r="K272"/>
  <c r="I272"/>
  <c r="O271"/>
  <c r="M271"/>
  <c r="K271"/>
  <c r="I271"/>
  <c r="O270"/>
  <c r="M270"/>
  <c r="K270"/>
  <c r="I270"/>
  <c r="O269"/>
  <c r="M269"/>
  <c r="K269"/>
  <c r="I269"/>
  <c r="O268"/>
  <c r="K268"/>
  <c r="I268"/>
  <c r="O267"/>
  <c r="M267"/>
  <c r="K267"/>
  <c r="I267"/>
  <c r="O266"/>
  <c r="M266"/>
  <c r="K266"/>
  <c r="I266"/>
  <c r="O265"/>
  <c r="M265"/>
  <c r="K265"/>
  <c r="I265"/>
  <c r="O264"/>
  <c r="M264"/>
  <c r="K264"/>
  <c r="I264"/>
  <c r="O263"/>
  <c r="K263"/>
  <c r="I263"/>
  <c r="O262"/>
  <c r="M262"/>
  <c r="K262"/>
  <c r="I262"/>
  <c r="O261"/>
  <c r="M261"/>
  <c r="K261"/>
  <c r="I261"/>
  <c r="O260"/>
  <c r="M260"/>
  <c r="K260"/>
  <c r="I260"/>
  <c r="O259"/>
  <c r="K259"/>
  <c r="I259"/>
  <c r="O258"/>
  <c r="M258"/>
  <c r="K258"/>
  <c r="I258"/>
  <c r="O257"/>
  <c r="M257"/>
  <c r="K257"/>
  <c r="I257"/>
  <c r="O256"/>
  <c r="M256"/>
  <c r="K256"/>
  <c r="I256"/>
  <c r="O255"/>
  <c r="M255"/>
  <c r="K255"/>
  <c r="I255"/>
  <c r="O254"/>
  <c r="M254"/>
  <c r="K254"/>
  <c r="I254"/>
  <c r="O253"/>
  <c r="M253"/>
  <c r="K253"/>
  <c r="I253"/>
  <c r="O252"/>
  <c r="K252"/>
  <c r="I252"/>
  <c r="O251"/>
  <c r="K251"/>
  <c r="I251"/>
  <c r="O250"/>
  <c r="K250"/>
  <c r="I250"/>
  <c r="O249"/>
  <c r="M249"/>
  <c r="K249"/>
  <c r="I249"/>
  <c r="O248"/>
  <c r="K248"/>
  <c r="I248"/>
  <c r="O247"/>
  <c r="M247"/>
  <c r="K247"/>
  <c r="I247"/>
  <c r="O246"/>
  <c r="K246"/>
  <c r="I246"/>
  <c r="O245"/>
  <c r="K245"/>
  <c r="I245"/>
  <c r="O244"/>
  <c r="K244"/>
  <c r="I244"/>
  <c r="O243"/>
  <c r="K243"/>
  <c r="I243"/>
  <c r="O242"/>
  <c r="M242"/>
  <c r="K242"/>
  <c r="I242"/>
  <c r="O241"/>
  <c r="K241"/>
  <c r="I241"/>
  <c r="O240"/>
  <c r="K240"/>
  <c r="I240"/>
  <c r="O239"/>
  <c r="K239"/>
  <c r="I239"/>
  <c r="O238"/>
  <c r="K238"/>
  <c r="I238"/>
  <c r="O237"/>
  <c r="K237"/>
  <c r="I237"/>
  <c r="O236"/>
  <c r="K236"/>
  <c r="I236"/>
  <c r="O235"/>
  <c r="M235"/>
  <c r="K235"/>
  <c r="I235"/>
  <c r="O234"/>
  <c r="K234"/>
  <c r="I234"/>
  <c r="O233"/>
  <c r="K233"/>
  <c r="I233"/>
  <c r="O232"/>
  <c r="K232"/>
  <c r="I232"/>
  <c r="O231"/>
  <c r="K231"/>
  <c r="I231"/>
  <c r="O230"/>
  <c r="K230"/>
  <c r="I230"/>
  <c r="O229"/>
  <c r="K229"/>
  <c r="I229"/>
  <c r="O228"/>
  <c r="K228"/>
  <c r="I228"/>
  <c r="O227"/>
  <c r="K227"/>
  <c r="I227"/>
  <c r="O226"/>
  <c r="M226"/>
  <c r="K226"/>
  <c r="I226"/>
  <c r="O225"/>
  <c r="M225"/>
  <c r="K225"/>
  <c r="O224"/>
  <c r="K224"/>
  <c r="I224"/>
  <c r="O223"/>
  <c r="K223"/>
  <c r="I223"/>
  <c r="O222"/>
  <c r="K222"/>
  <c r="O221"/>
  <c r="K221"/>
  <c r="I221"/>
  <c r="O220"/>
  <c r="K220"/>
  <c r="I220"/>
  <c r="O219"/>
  <c r="K219"/>
  <c r="I219"/>
  <c r="O218"/>
  <c r="K218"/>
  <c r="I218"/>
  <c r="O217"/>
  <c r="K217"/>
  <c r="I217"/>
  <c r="O216"/>
  <c r="K216"/>
  <c r="I216"/>
  <c r="O215"/>
  <c r="M215"/>
  <c r="K215"/>
  <c r="I215"/>
  <c r="O214"/>
  <c r="K214"/>
  <c r="I214"/>
  <c r="O213"/>
  <c r="M213"/>
  <c r="K213"/>
  <c r="I213"/>
  <c r="O212"/>
  <c r="K212"/>
  <c r="I212"/>
  <c r="O211"/>
  <c r="K211"/>
  <c r="I211"/>
  <c r="O210"/>
  <c r="K210"/>
  <c r="I210"/>
  <c r="O209"/>
  <c r="K209"/>
  <c r="I209"/>
  <c r="O208"/>
  <c r="K208"/>
  <c r="I208"/>
  <c r="O207"/>
  <c r="M207"/>
  <c r="K207"/>
  <c r="I207"/>
  <c r="O206"/>
  <c r="K206"/>
  <c r="I206"/>
  <c r="O205"/>
  <c r="K205"/>
  <c r="I205"/>
  <c r="O204"/>
  <c r="K204"/>
  <c r="I204"/>
  <c r="O203"/>
  <c r="M203"/>
  <c r="K203"/>
  <c r="I203"/>
  <c r="O202"/>
  <c r="M202"/>
  <c r="K202"/>
  <c r="I202"/>
  <c r="O201"/>
  <c r="M201"/>
  <c r="K201"/>
  <c r="I201"/>
  <c r="O200"/>
  <c r="K200"/>
  <c r="I200"/>
  <c r="O199"/>
  <c r="K199"/>
  <c r="I199"/>
  <c r="O198"/>
  <c r="K198"/>
  <c r="I198"/>
  <c r="O197"/>
  <c r="K197"/>
  <c r="I197"/>
  <c r="O196"/>
  <c r="M196"/>
  <c r="K196"/>
  <c r="I196"/>
  <c r="O195"/>
  <c r="K195"/>
  <c r="I195"/>
  <c r="O194"/>
  <c r="K194"/>
  <c r="I194"/>
  <c r="O193"/>
  <c r="K193"/>
  <c r="I193"/>
  <c r="O192"/>
  <c r="M192"/>
  <c r="K192"/>
  <c r="I192"/>
  <c r="O191"/>
  <c r="K191"/>
  <c r="I191"/>
  <c r="O190"/>
  <c r="M190"/>
  <c r="K190"/>
  <c r="I190"/>
  <c r="O189"/>
  <c r="M189"/>
  <c r="K189"/>
  <c r="I189"/>
  <c r="O188"/>
  <c r="M188"/>
  <c r="K188"/>
  <c r="I188"/>
  <c r="O187"/>
  <c r="M187"/>
  <c r="K187"/>
  <c r="I187"/>
  <c r="O186"/>
  <c r="K186"/>
  <c r="I186"/>
  <c r="O185"/>
  <c r="M185"/>
  <c r="K185"/>
  <c r="I185"/>
  <c r="O184"/>
  <c r="M184"/>
  <c r="K184"/>
  <c r="I184"/>
  <c r="O183"/>
  <c r="M183"/>
  <c r="K183"/>
  <c r="I183"/>
  <c r="O182"/>
  <c r="M182"/>
  <c r="K182"/>
  <c r="I182"/>
  <c r="O181"/>
  <c r="K181"/>
  <c r="I181"/>
  <c r="O180"/>
  <c r="M180"/>
  <c r="K180"/>
  <c r="I180"/>
  <c r="O179"/>
  <c r="M179"/>
  <c r="K179"/>
  <c r="I179"/>
  <c r="O178"/>
  <c r="M178"/>
  <c r="K178"/>
  <c r="I178"/>
  <c r="O177"/>
  <c r="M177"/>
  <c r="K177"/>
  <c r="I177"/>
  <c r="O176"/>
  <c r="M176"/>
  <c r="K176"/>
  <c r="I176"/>
  <c r="O175"/>
  <c r="M175"/>
  <c r="K175"/>
  <c r="I175"/>
  <c r="O174"/>
  <c r="M174"/>
  <c r="K174"/>
  <c r="I174"/>
  <c r="O173"/>
  <c r="M173"/>
  <c r="K173"/>
  <c r="I173"/>
  <c r="O172"/>
  <c r="M172"/>
  <c r="K172"/>
  <c r="I172"/>
  <c r="O171"/>
  <c r="M171"/>
  <c r="K171"/>
  <c r="I171"/>
  <c r="O170"/>
  <c r="M170"/>
  <c r="K170"/>
  <c r="I170"/>
  <c r="O169"/>
  <c r="M169"/>
  <c r="K169"/>
  <c r="I169"/>
  <c r="O168"/>
  <c r="M168"/>
  <c r="K168"/>
  <c r="I168"/>
  <c r="O167"/>
  <c r="M167"/>
  <c r="K167"/>
  <c r="I167"/>
  <c r="O166"/>
  <c r="M166"/>
  <c r="K166"/>
  <c r="I166"/>
  <c r="O165"/>
  <c r="K165"/>
  <c r="I165"/>
  <c r="O164"/>
  <c r="M164"/>
  <c r="K164"/>
  <c r="I164"/>
  <c r="O163"/>
  <c r="M163"/>
  <c r="K163"/>
  <c r="I163"/>
  <c r="O162"/>
  <c r="M162"/>
  <c r="K162"/>
  <c r="I162"/>
  <c r="O161"/>
  <c r="M161"/>
  <c r="K161"/>
  <c r="I161"/>
  <c r="O160"/>
  <c r="M160"/>
  <c r="K160"/>
  <c r="I160"/>
  <c r="O159"/>
  <c r="M159"/>
  <c r="K159"/>
  <c r="I159"/>
  <c r="O158"/>
  <c r="M158"/>
  <c r="K158"/>
  <c r="I158"/>
  <c r="O157"/>
  <c r="K157"/>
  <c r="I157"/>
  <c r="O156"/>
  <c r="K156"/>
  <c r="I156"/>
  <c r="O155"/>
  <c r="K155"/>
  <c r="I155"/>
  <c r="O154"/>
  <c r="M154"/>
  <c r="K154"/>
  <c r="I154"/>
  <c r="O153"/>
  <c r="K153"/>
  <c r="I153"/>
  <c r="O152"/>
  <c r="K152"/>
  <c r="I152"/>
  <c r="O151"/>
  <c r="M151"/>
  <c r="K151"/>
  <c r="I151"/>
  <c r="O150"/>
  <c r="M150"/>
  <c r="K150"/>
  <c r="I150"/>
  <c r="O149"/>
  <c r="K149"/>
  <c r="I149"/>
  <c r="K148"/>
  <c r="I148"/>
  <c r="O147"/>
  <c r="K147"/>
  <c r="I147"/>
  <c r="O146"/>
  <c r="M146"/>
  <c r="K146"/>
  <c r="I146"/>
  <c r="O145"/>
  <c r="M145"/>
  <c r="K145"/>
  <c r="I145"/>
  <c r="O144"/>
  <c r="K144"/>
  <c r="I144"/>
  <c r="O143"/>
  <c r="M143"/>
  <c r="K143"/>
  <c r="I143"/>
  <c r="O142"/>
  <c r="K142"/>
  <c r="I142"/>
  <c r="O141"/>
  <c r="K141"/>
  <c r="I141"/>
  <c r="O140"/>
  <c r="M140"/>
  <c r="K140"/>
  <c r="I140"/>
  <c r="O139"/>
  <c r="M139"/>
  <c r="K139"/>
  <c r="I139"/>
  <c r="O138"/>
  <c r="M138"/>
  <c r="K138"/>
  <c r="I138"/>
  <c r="J136"/>
  <c r="K136" s="1"/>
  <c r="I136"/>
  <c r="O135"/>
  <c r="L135"/>
  <c r="M135" s="1"/>
  <c r="K135"/>
  <c r="I135"/>
  <c r="O134"/>
  <c r="L134"/>
  <c r="M134" s="1"/>
  <c r="K134"/>
  <c r="I134"/>
  <c r="O133"/>
  <c r="L133"/>
  <c r="M133" s="1"/>
  <c r="K133"/>
  <c r="I133"/>
  <c r="O132"/>
  <c r="L132"/>
  <c r="M132" s="1"/>
  <c r="K132"/>
  <c r="I132"/>
  <c r="O131"/>
  <c r="L131"/>
  <c r="M131" s="1"/>
  <c r="K131"/>
  <c r="I131"/>
  <c r="O130"/>
  <c r="L130"/>
  <c r="M130" s="1"/>
  <c r="K130"/>
  <c r="I130"/>
  <c r="O129"/>
  <c r="L129"/>
  <c r="M129" s="1"/>
  <c r="K129"/>
  <c r="I129"/>
  <c r="O128"/>
  <c r="L128"/>
  <c r="M128" s="1"/>
  <c r="K128"/>
  <c r="I128"/>
  <c r="O127"/>
  <c r="L127"/>
  <c r="M127" s="1"/>
  <c r="K127"/>
  <c r="I127"/>
  <c r="O126"/>
  <c r="L126"/>
  <c r="M126" s="1"/>
  <c r="K126"/>
  <c r="I126"/>
  <c r="O125"/>
  <c r="M125"/>
  <c r="I125"/>
  <c r="O124"/>
  <c r="L124"/>
  <c r="M124" s="1"/>
  <c r="K124"/>
  <c r="I124"/>
  <c r="O123"/>
  <c r="L123"/>
  <c r="M123" s="1"/>
  <c r="K123"/>
  <c r="I123"/>
  <c r="O122"/>
  <c r="K122"/>
  <c r="I122"/>
  <c r="O121"/>
  <c r="M121"/>
  <c r="K121"/>
  <c r="I121"/>
  <c r="O120"/>
  <c r="L120"/>
  <c r="M120" s="1"/>
  <c r="K120"/>
  <c r="I120"/>
  <c r="O119"/>
  <c r="L119"/>
  <c r="M119" s="1"/>
  <c r="K119"/>
  <c r="I119"/>
  <c r="O118"/>
  <c r="L118"/>
  <c r="M118" s="1"/>
  <c r="K118"/>
  <c r="I118"/>
  <c r="O117"/>
  <c r="L117"/>
  <c r="M117" s="1"/>
  <c r="K117"/>
  <c r="I117"/>
  <c r="O116"/>
  <c r="L116"/>
  <c r="K116"/>
  <c r="I116"/>
  <c r="O115"/>
  <c r="L115"/>
  <c r="K115"/>
  <c r="I115"/>
  <c r="O114"/>
  <c r="L114"/>
  <c r="M114" s="1"/>
  <c r="K114"/>
  <c r="I114"/>
  <c r="O113"/>
  <c r="L113"/>
  <c r="K113"/>
  <c r="I113"/>
  <c r="O112"/>
  <c r="L112"/>
  <c r="K112"/>
  <c r="I112"/>
  <c r="O111"/>
  <c r="L111"/>
  <c r="K111"/>
  <c r="I111"/>
  <c r="O110"/>
  <c r="M110"/>
  <c r="K110"/>
  <c r="I110"/>
  <c r="N109"/>
  <c r="O109" s="1"/>
  <c r="L109"/>
  <c r="M109" s="1"/>
  <c r="K109"/>
  <c r="I109"/>
  <c r="O108"/>
  <c r="L108"/>
  <c r="K108"/>
  <c r="I108"/>
  <c r="O107"/>
  <c r="L107"/>
  <c r="M107" s="1"/>
  <c r="K107"/>
  <c r="I107"/>
  <c r="O106"/>
  <c r="L106"/>
  <c r="K106"/>
  <c r="I106"/>
  <c r="O105"/>
  <c r="M105"/>
  <c r="K105"/>
  <c r="M104"/>
  <c r="K104"/>
  <c r="O103"/>
  <c r="M103"/>
  <c r="K103"/>
  <c r="O102"/>
  <c r="M102"/>
  <c r="K102"/>
  <c r="O101"/>
  <c r="M101"/>
  <c r="K101"/>
  <c r="O100"/>
  <c r="M100"/>
  <c r="K100"/>
  <c r="O99"/>
  <c r="L99"/>
  <c r="M99" s="1"/>
  <c r="K99"/>
  <c r="I99"/>
  <c r="O98"/>
  <c r="L98"/>
  <c r="M98" s="1"/>
  <c r="K98"/>
  <c r="I98"/>
  <c r="O97"/>
  <c r="L97"/>
  <c r="M97" s="1"/>
  <c r="K97"/>
  <c r="I97"/>
  <c r="O96"/>
  <c r="L96"/>
  <c r="M96" s="1"/>
  <c r="K96"/>
  <c r="I96"/>
  <c r="O95"/>
  <c r="L95"/>
  <c r="M95" s="1"/>
  <c r="K95"/>
  <c r="I95"/>
  <c r="O94"/>
  <c r="K94"/>
  <c r="F94"/>
  <c r="O93"/>
  <c r="L93"/>
  <c r="K93"/>
  <c r="O92"/>
  <c r="L92"/>
  <c r="K92"/>
  <c r="O91"/>
  <c r="L91"/>
  <c r="K91"/>
  <c r="O90"/>
  <c r="L90"/>
  <c r="M90" s="1"/>
  <c r="K90"/>
  <c r="O89"/>
  <c r="M89"/>
  <c r="K89"/>
  <c r="F89"/>
  <c r="O88"/>
  <c r="L88"/>
  <c r="K88"/>
  <c r="O87"/>
  <c r="L87"/>
  <c r="K87"/>
  <c r="O86"/>
  <c r="F86"/>
  <c r="O85"/>
  <c r="M85"/>
  <c r="K85"/>
  <c r="O84"/>
  <c r="L84"/>
  <c r="M84" s="1"/>
  <c r="K84"/>
  <c r="F84"/>
  <c r="O83"/>
  <c r="L83"/>
  <c r="K83"/>
  <c r="O82"/>
  <c r="L82"/>
  <c r="M82" s="1"/>
  <c r="K82"/>
  <c r="O81"/>
  <c r="L81"/>
  <c r="M81" s="1"/>
  <c r="K81"/>
  <c r="I81"/>
  <c r="O80"/>
  <c r="L80"/>
  <c r="M80" s="1"/>
  <c r="K80"/>
  <c r="O79"/>
  <c r="L79"/>
  <c r="K79"/>
  <c r="O78"/>
  <c r="L78"/>
  <c r="M78" s="1"/>
  <c r="K78"/>
  <c r="O77"/>
  <c r="L77"/>
  <c r="M77" s="1"/>
  <c r="K77"/>
  <c r="O76"/>
  <c r="L76"/>
  <c r="M76" s="1"/>
  <c r="K76"/>
  <c r="O75"/>
  <c r="L75"/>
  <c r="K75"/>
  <c r="O74"/>
  <c r="L74"/>
  <c r="K74"/>
  <c r="O73"/>
  <c r="L73"/>
  <c r="M73" s="1"/>
  <c r="K73"/>
  <c r="O72"/>
  <c r="L72"/>
  <c r="K72"/>
  <c r="O71"/>
  <c r="L71"/>
  <c r="K71"/>
  <c r="O70"/>
  <c r="L70"/>
  <c r="M70" s="1"/>
  <c r="K70"/>
  <c r="O69"/>
  <c r="L69"/>
  <c r="M69" s="1"/>
  <c r="K69"/>
  <c r="F69"/>
  <c r="O68"/>
  <c r="L68"/>
  <c r="M68" s="1"/>
  <c r="K68"/>
  <c r="I68"/>
  <c r="O67"/>
  <c r="L67"/>
  <c r="M67" s="1"/>
  <c r="K67"/>
  <c r="O66"/>
  <c r="L66"/>
  <c r="M66" s="1"/>
  <c r="K66"/>
  <c r="O65"/>
  <c r="L65"/>
  <c r="M65" s="1"/>
  <c r="K65"/>
  <c r="O64"/>
  <c r="L64"/>
  <c r="K64"/>
  <c r="O63"/>
  <c r="K63"/>
  <c r="I63"/>
  <c r="O62"/>
  <c r="M62"/>
  <c r="K62"/>
  <c r="O61"/>
  <c r="M61"/>
  <c r="K61"/>
  <c r="O60"/>
  <c r="M60"/>
  <c r="K60"/>
  <c r="I60"/>
  <c r="O59"/>
  <c r="L59"/>
  <c r="M59" s="1"/>
  <c r="K59"/>
  <c r="O58"/>
  <c r="L58"/>
  <c r="M58" s="1"/>
  <c r="K58"/>
  <c r="I58"/>
  <c r="O57"/>
  <c r="K57"/>
  <c r="O56"/>
  <c r="L56"/>
  <c r="K56"/>
  <c r="O55"/>
  <c r="K55"/>
  <c r="F55"/>
  <c r="O54"/>
  <c r="L54"/>
  <c r="M54" s="1"/>
  <c r="K54"/>
  <c r="I54"/>
  <c r="N53"/>
  <c r="O53" s="1"/>
  <c r="L53"/>
  <c r="M53" s="1"/>
  <c r="K53"/>
  <c r="I53"/>
  <c r="O52"/>
  <c r="L52"/>
  <c r="M52" s="1"/>
  <c r="K52"/>
  <c r="O51"/>
  <c r="L51"/>
  <c r="K51"/>
  <c r="O50"/>
  <c r="L50"/>
  <c r="K50"/>
  <c r="O49"/>
  <c r="M49"/>
  <c r="K49"/>
  <c r="O48"/>
  <c r="L48"/>
  <c r="K48"/>
  <c r="O47"/>
  <c r="L47"/>
  <c r="M47" s="1"/>
  <c r="K47"/>
  <c r="I47"/>
  <c r="N46"/>
  <c r="O46" s="1"/>
  <c r="L46"/>
  <c r="M46" s="1"/>
  <c r="K46"/>
  <c r="I46"/>
  <c r="O45"/>
  <c r="L45"/>
  <c r="K45"/>
  <c r="O44"/>
  <c r="L44"/>
  <c r="K44"/>
  <c r="F44"/>
  <c r="O43"/>
  <c r="L43"/>
  <c r="M43" s="1"/>
  <c r="K43"/>
  <c r="O42"/>
  <c r="L42"/>
  <c r="M42" s="1"/>
  <c r="K42"/>
  <c r="I42"/>
  <c r="O41"/>
  <c r="K41"/>
  <c r="F41"/>
  <c r="O40"/>
  <c r="M40"/>
  <c r="K40"/>
  <c r="I40"/>
  <c r="O39"/>
  <c r="M39"/>
  <c r="K39"/>
  <c r="O38"/>
  <c r="K38"/>
  <c r="O37"/>
  <c r="L37"/>
  <c r="M37" s="1"/>
  <c r="K37"/>
  <c r="I37"/>
  <c r="O36"/>
  <c r="M36"/>
  <c r="L36"/>
  <c r="K36"/>
  <c r="O35"/>
  <c r="M35"/>
  <c r="L35"/>
  <c r="K35"/>
  <c r="O34"/>
  <c r="M34"/>
  <c r="L34"/>
  <c r="K34"/>
  <c r="O33"/>
  <c r="M33"/>
  <c r="L33"/>
  <c r="K33"/>
  <c r="O32"/>
  <c r="M32"/>
  <c r="K32"/>
  <c r="O31"/>
  <c r="M31"/>
  <c r="K31"/>
  <c r="O30"/>
  <c r="L30"/>
  <c r="M30" s="1"/>
  <c r="K30"/>
  <c r="I30"/>
  <c r="O29"/>
  <c r="L29"/>
  <c r="K29"/>
  <c r="F29"/>
  <c r="O28"/>
  <c r="L28"/>
  <c r="K28"/>
  <c r="I28"/>
  <c r="O27"/>
  <c r="L27"/>
  <c r="M27" s="1"/>
  <c r="K27"/>
  <c r="F27"/>
  <c r="O26"/>
  <c r="L26"/>
  <c r="M26" s="1"/>
  <c r="F26"/>
  <c r="O25"/>
  <c r="K25"/>
  <c r="I25"/>
  <c r="O24"/>
  <c r="L24"/>
  <c r="M24" s="1"/>
  <c r="K24"/>
  <c r="F24"/>
  <c r="O23"/>
  <c r="M23"/>
  <c r="K23"/>
  <c r="F23"/>
  <c r="O22"/>
  <c r="L22"/>
  <c r="M22" s="1"/>
  <c r="K22"/>
  <c r="F22"/>
  <c r="O21"/>
  <c r="L21"/>
  <c r="K21"/>
  <c r="F21"/>
  <c r="O20"/>
  <c r="L20"/>
  <c r="K20"/>
  <c r="I20"/>
  <c r="O19"/>
  <c r="L19"/>
  <c r="K19"/>
  <c r="I19"/>
  <c r="O18"/>
  <c r="L18"/>
  <c r="K18"/>
  <c r="I18"/>
  <c r="O17"/>
  <c r="L17"/>
  <c r="M17" s="1"/>
  <c r="K17"/>
  <c r="F17"/>
  <c r="O16"/>
  <c r="M16"/>
  <c r="K16"/>
  <c r="F16"/>
  <c r="O15"/>
  <c r="L15"/>
  <c r="M15" s="1"/>
  <c r="K15"/>
  <c r="F15"/>
  <c r="O14"/>
  <c r="K14"/>
  <c r="F14"/>
  <c r="O13"/>
  <c r="M13"/>
  <c r="L13"/>
  <c r="K13"/>
  <c r="O12"/>
  <c r="M12"/>
  <c r="K12"/>
  <c r="M11"/>
  <c r="K11"/>
  <c r="O10"/>
  <c r="M10"/>
  <c r="K10"/>
  <c r="O9"/>
  <c r="M9"/>
  <c r="K9"/>
  <c r="F14" i="4"/>
  <c r="K8"/>
  <c r="F145" i="3"/>
  <c r="D145"/>
  <c r="Q144"/>
  <c r="K144"/>
  <c r="Q142"/>
  <c r="E137"/>
  <c r="Q136"/>
  <c r="Q134"/>
  <c r="Q132"/>
  <c r="Q130"/>
  <c r="Q128"/>
  <c r="Q126"/>
  <c r="G121"/>
  <c r="G111"/>
  <c r="E121"/>
  <c r="Q114"/>
  <c r="E111"/>
  <c r="Q110"/>
  <c r="Q108"/>
  <c r="Q106"/>
  <c r="Q77"/>
  <c r="Q71"/>
  <c r="Q69"/>
  <c r="Q67"/>
  <c r="Q65"/>
  <c r="Q61"/>
  <c r="Q59"/>
  <c r="Q55"/>
  <c r="Q51"/>
  <c r="Q43"/>
  <c r="Q41"/>
  <c r="AC33"/>
  <c r="AC149" s="1"/>
  <c r="Q31"/>
  <c r="Q27"/>
  <c r="Q23"/>
  <c r="AO770" i="2"/>
  <c r="AI770"/>
  <c r="AC770"/>
  <c r="W770"/>
  <c r="Q770"/>
  <c r="K770"/>
  <c r="H758"/>
  <c r="G758"/>
  <c r="F758"/>
  <c r="E758"/>
  <c r="AQ628" i="1"/>
  <c r="AP628"/>
  <c r="AO628"/>
  <c r="AN628"/>
  <c r="AM628"/>
  <c r="AL628"/>
  <c r="AK628"/>
  <c r="AJ628"/>
  <c r="AI628"/>
  <c r="AH628"/>
  <c r="AG628"/>
  <c r="AF628"/>
  <c r="AE628"/>
  <c r="AD628"/>
  <c r="AC628"/>
  <c r="AB628"/>
  <c r="AA628"/>
  <c r="Z628"/>
  <c r="Y628"/>
  <c r="X628"/>
  <c r="W628"/>
  <c r="V628"/>
  <c r="U628"/>
  <c r="T628"/>
  <c r="S628"/>
  <c r="R628"/>
  <c r="Q628"/>
  <c r="P628"/>
  <c r="O628"/>
  <c r="N628"/>
  <c r="M628"/>
  <c r="L628"/>
  <c r="K628"/>
  <c r="J628"/>
  <c r="I628"/>
  <c r="H628"/>
  <c r="Q604"/>
  <c r="K604"/>
  <c r="M219" i="6"/>
  <c r="M231"/>
  <c r="M347"/>
  <c r="M386"/>
  <c r="M430"/>
  <c r="M478"/>
  <c r="M18"/>
  <c r="M48"/>
  <c r="M55"/>
  <c r="M88"/>
  <c r="M94"/>
  <c r="M142"/>
  <c r="M194"/>
  <c r="M197"/>
  <c r="M200"/>
  <c r="M232"/>
  <c r="M236"/>
  <c r="M285"/>
  <c r="M348"/>
  <c r="M351"/>
  <c r="M397"/>
  <c r="M399"/>
  <c r="M452"/>
  <c r="M515"/>
  <c r="M517"/>
  <c r="M19"/>
  <c r="M20"/>
  <c r="M21"/>
  <c r="M28"/>
  <c r="M29"/>
  <c r="M41"/>
  <c r="M44"/>
  <c r="M45"/>
  <c r="M51"/>
  <c r="M72"/>
  <c r="M87"/>
  <c r="M92"/>
  <c r="M112"/>
  <c r="M113"/>
  <c r="M115"/>
  <c r="M116"/>
  <c r="M137"/>
  <c r="M147"/>
  <c r="M148"/>
  <c r="M149"/>
  <c r="M152"/>
  <c r="M153"/>
  <c r="M155"/>
  <c r="M156"/>
  <c r="M157"/>
  <c r="M204"/>
  <c r="M205"/>
  <c r="M206"/>
  <c r="M237"/>
  <c r="M238"/>
  <c r="M239"/>
  <c r="M240"/>
  <c r="M241"/>
  <c r="M259"/>
  <c r="M263"/>
  <c r="M291"/>
  <c r="M292"/>
  <c r="M293"/>
  <c r="M294"/>
  <c r="M295"/>
  <c r="M296"/>
  <c r="M297"/>
  <c r="M298"/>
  <c r="M355"/>
  <c r="M356"/>
  <c r="M357"/>
  <c r="M358"/>
  <c r="M359"/>
  <c r="M360"/>
  <c r="M361"/>
  <c r="M362"/>
  <c r="M383"/>
  <c r="M402"/>
  <c r="M403"/>
  <c r="M404"/>
  <c r="M405"/>
  <c r="M406"/>
  <c r="M407"/>
  <c r="M408"/>
  <c r="M409"/>
  <c r="M416"/>
  <c r="M417"/>
  <c r="M418"/>
  <c r="M419"/>
  <c r="M420"/>
  <c r="M421"/>
  <c r="M456"/>
  <c r="M472"/>
  <c r="M486"/>
  <c r="M502"/>
  <c r="M14"/>
  <c r="M93"/>
  <c r="M111"/>
  <c r="M141"/>
  <c r="M191"/>
  <c r="M195"/>
  <c r="M198"/>
  <c r="M220"/>
  <c r="M221"/>
  <c r="M233"/>
  <c r="M287"/>
  <c r="M289"/>
  <c r="M350"/>
  <c r="M353"/>
  <c r="M395"/>
  <c r="M396"/>
  <c r="M398"/>
  <c r="M400"/>
  <c r="M401"/>
  <c r="M468"/>
  <c r="M500"/>
  <c r="M518"/>
  <c r="M25"/>
  <c r="M38"/>
  <c r="M50"/>
  <c r="M57"/>
  <c r="M64"/>
  <c r="M71"/>
  <c r="M75"/>
  <c r="M79"/>
  <c r="M91"/>
  <c r="K125"/>
  <c r="M165"/>
  <c r="M181"/>
  <c r="M208"/>
  <c r="M209"/>
  <c r="M210"/>
  <c r="M211"/>
  <c r="M212"/>
  <c r="M243"/>
  <c r="M244"/>
  <c r="M245"/>
  <c r="M246"/>
  <c r="M268"/>
  <c r="M272"/>
  <c r="M301"/>
  <c r="M302"/>
  <c r="M303"/>
  <c r="M305"/>
  <c r="M306"/>
  <c r="M332"/>
  <c r="M334"/>
  <c r="M335"/>
  <c r="M336"/>
  <c r="M338"/>
  <c r="M364"/>
  <c r="M365"/>
  <c r="M367"/>
  <c r="M368"/>
  <c r="M369"/>
  <c r="M388"/>
  <c r="M412"/>
  <c r="M413"/>
  <c r="M414"/>
  <c r="M423"/>
  <c r="M424"/>
  <c r="M425"/>
  <c r="M427"/>
  <c r="M428"/>
  <c r="M429"/>
  <c r="M444"/>
  <c r="M445"/>
  <c r="M475"/>
  <c r="M476"/>
  <c r="M493"/>
  <c r="M508"/>
  <c r="M144"/>
  <c r="M193"/>
  <c r="M199"/>
  <c r="M234"/>
  <c r="M284"/>
  <c r="M286"/>
  <c r="M288"/>
  <c r="M290"/>
  <c r="M349"/>
  <c r="M352"/>
  <c r="M354"/>
  <c r="M56"/>
  <c r="M63"/>
  <c r="M74"/>
  <c r="M83"/>
  <c r="M106"/>
  <c r="M108"/>
  <c r="M122"/>
  <c r="M186"/>
  <c r="M214"/>
  <c r="M216"/>
  <c r="M217"/>
  <c r="M218"/>
  <c r="M222"/>
  <c r="M223"/>
  <c r="M224"/>
  <c r="M227"/>
  <c r="M228"/>
  <c r="M229"/>
  <c r="M230"/>
  <c r="M248"/>
  <c r="M250"/>
  <c r="M251"/>
  <c r="M252"/>
  <c r="M277"/>
  <c r="M278"/>
  <c r="M279"/>
  <c r="M281"/>
  <c r="M282"/>
  <c r="M308"/>
  <c r="M310"/>
  <c r="M311"/>
  <c r="M312"/>
  <c r="M314"/>
  <c r="M341"/>
  <c r="M342"/>
  <c r="M343"/>
  <c r="M344"/>
  <c r="M345"/>
  <c r="M346"/>
  <c r="M374"/>
  <c r="M375"/>
  <c r="M378"/>
  <c r="M391"/>
  <c r="M393"/>
  <c r="M431"/>
  <c r="M432"/>
  <c r="M447"/>
  <c r="M448"/>
  <c r="M479"/>
  <c r="M481"/>
  <c r="M511"/>
  <c r="M512"/>
  <c r="M37" i="8"/>
  <c r="J520" i="6"/>
  <c r="K86"/>
  <c r="L136"/>
  <c r="N136" s="1"/>
  <c r="O136" s="1"/>
  <c r="N520"/>
  <c r="F605" i="1" l="1"/>
  <c r="AI634"/>
  <c r="AK634"/>
  <c r="G633"/>
  <c r="O69" i="8"/>
  <c r="M136" i="6"/>
  <c r="Q151" i="3"/>
  <c r="E145"/>
  <c r="AC636" i="1"/>
  <c r="K640"/>
  <c r="D605"/>
  <c r="D633" s="1"/>
  <c r="F633"/>
  <c r="AE638"/>
  <c r="E628"/>
  <c r="E633" s="1"/>
  <c r="S605"/>
  <c r="S633" s="1"/>
  <c r="Q635"/>
  <c r="Y636"/>
  <c r="W634"/>
  <c r="K634"/>
  <c r="W636"/>
  <c r="K635"/>
  <c r="M605"/>
  <c r="K638"/>
  <c r="AE145" i="3"/>
  <c r="Y165"/>
  <c r="S160"/>
  <c r="G145"/>
  <c r="K14" i="4"/>
  <c r="Q69" i="8"/>
  <c r="J69"/>
  <c r="Q367" i="7"/>
  <c r="J367"/>
  <c r="O367"/>
  <c r="Q368"/>
  <c r="M368"/>
  <c r="O368"/>
  <c r="M86" i="6"/>
  <c r="M473"/>
  <c r="O473"/>
  <c r="K473"/>
  <c r="D520"/>
  <c r="I473"/>
  <c r="L520"/>
  <c r="AH109" i="2"/>
  <c r="AH463" s="1"/>
  <c r="AS92"/>
  <c r="AO604" i="1"/>
  <c r="AC638"/>
  <c r="AK638"/>
  <c r="AI636"/>
  <c r="AK633"/>
  <c r="AI638"/>
  <c r="AQ638"/>
  <c r="AO636"/>
  <c r="AQ636"/>
  <c r="AK636"/>
  <c r="AQ634"/>
  <c r="AU92" i="2"/>
  <c r="AH91"/>
  <c r="AQ92"/>
  <c r="AN90"/>
  <c r="AT92"/>
  <c r="AE605" i="1"/>
  <c r="AO603"/>
  <c r="AO647" s="1"/>
  <c r="M145" i="3"/>
  <c r="AO160"/>
  <c r="Q636" i="1"/>
  <c r="AQ640"/>
  <c r="AQ633"/>
  <c r="Y633"/>
  <c r="AQ648"/>
  <c r="AI640"/>
  <c r="Q638"/>
  <c r="K636"/>
  <c r="M642"/>
  <c r="AE640"/>
  <c r="M634" l="1"/>
  <c r="Y640"/>
  <c r="S634"/>
  <c r="M633"/>
  <c r="J368" i="7"/>
  <c r="I520" i="6"/>
  <c r="F520"/>
  <c r="M520"/>
  <c r="K520"/>
  <c r="O520"/>
  <c r="AN109" i="2"/>
  <c r="AN463" s="1"/>
  <c r="AE633" i="1"/>
  <c r="AN91" i="2"/>
  <c r="AC634" i="1"/>
  <c r="Q634"/>
  <c r="AE634"/>
  <c r="AV92" i="2" l="1"/>
</calcChain>
</file>

<file path=xl/sharedStrings.xml><?xml version="1.0" encoding="utf-8"?>
<sst xmlns="http://schemas.openxmlformats.org/spreadsheetml/2006/main" count="15752" uniqueCount="4121">
  <si>
    <t>Таблица № 2. Перечень автомобильных дорог (улиц) федерального, регионального и межмуниципального, местного значения и планируемые мероприятия на них для достижения целевых показателей (по городской агломерации)</t>
  </si>
  <si>
    <t>№</t>
  </si>
  <si>
    <t>Код в СКДФ</t>
  </si>
  <si>
    <t xml:space="preserve">Наименование автомобильной дороги (улицы) </t>
  </si>
  <si>
    <t>Протяженность и площадь покрытия дороги (улицы)</t>
  </si>
  <si>
    <t>Мероприятия, реализуемые в рамках программы в 2019 году</t>
  </si>
  <si>
    <t>Мероприятия, реализуемые в рамках программы в 2020 году</t>
  </si>
  <si>
    <t>Мероприятия, реализуемые в рамках программы в 2021 году</t>
  </si>
  <si>
    <t>Мероприятия, реализуемые в рамках программы в 2022 году</t>
  </si>
  <si>
    <t>Мероприятия, реализуемые в рамках программы в 2023 году</t>
  </si>
  <si>
    <t>Мероприятия, реализуемые в рамках программы в 2024 году</t>
  </si>
  <si>
    <t>Адрес участка</t>
  </si>
  <si>
    <t>Вид работ</t>
  </si>
  <si>
    <t>Мощность работ</t>
  </si>
  <si>
    <t xml:space="preserve">Стоимость </t>
  </si>
  <si>
    <t>в границах субъекта</t>
  </si>
  <si>
    <t>в границах агломерации</t>
  </si>
  <si>
    <t>км</t>
  </si>
  <si>
    <t>кв.м</t>
  </si>
  <si>
    <t>Начало (км+м)</t>
  </si>
  <si>
    <t>Конец (км+м)</t>
  </si>
  <si>
    <t>Значение</t>
  </si>
  <si>
    <t>Единица измерения</t>
  </si>
  <si>
    <t>тыс.руб.</t>
  </si>
  <si>
    <t>автомобильная дорога "Тамбов - Ртищево - Саратов" (в пределах Саратовского района)</t>
  </si>
  <si>
    <t>автомобильная дорога "Тамбов - Ртищево - Саратов" (в пределах Татищевского района)</t>
  </si>
  <si>
    <t>805630</t>
  </si>
  <si>
    <t>автомобильная дорога "Саратов - Тепловка - Базарный Карабулак - Балтай" (в пределах Базарно-Карабулакского района)</t>
  </si>
  <si>
    <t>60+180</t>
  </si>
  <si>
    <t>85+160</t>
  </si>
  <si>
    <t>87+260</t>
  </si>
  <si>
    <t>кап. ремонт</t>
  </si>
  <si>
    <t>кв.м.</t>
  </si>
  <si>
    <t>75+180</t>
  </si>
  <si>
    <t>автомобильная дорога "Саратов - Тепловка - Базарный Карабулак - Балтай" (в пределах Балтайского района)</t>
  </si>
  <si>
    <t>90+018</t>
  </si>
  <si>
    <t>95+418</t>
  </si>
  <si>
    <t>автомобильная дорога "Саратов - Тепловка - Базарный Карабулак - Балтай" (в пределах Новобурасского района)</t>
  </si>
  <si>
    <t xml:space="preserve"> 9+625 </t>
  </si>
  <si>
    <t xml:space="preserve"> 34+625 </t>
  </si>
  <si>
    <t>34+625</t>
  </si>
  <si>
    <t>43+180</t>
  </si>
  <si>
    <t>автомобильная дорога "Саратов - Тепловка - Базарный Карабулак - Балтай" (в пределах Саратовского района)</t>
  </si>
  <si>
    <t>автомобильная дорога "Саратов - Усть-Курдюм" на участке км 7+895 - км 15+000</t>
  </si>
  <si>
    <t xml:space="preserve"> 12+805 </t>
  </si>
  <si>
    <t xml:space="preserve"> 15+000 </t>
  </si>
  <si>
    <t>автоподъезд к г. Саратову от автомобильной дороги "Р-228 "Сызрань - Саратов - Волгоград"</t>
  </si>
  <si>
    <t>4+087</t>
  </si>
  <si>
    <t>6+240</t>
  </si>
  <si>
    <t>установка барьерного ограждения</t>
  </si>
  <si>
    <t>автоподъезд к п. Зоринский от автоподъезда к г. Саратову от автомобильной дороги "Р-228 "Сызрань-Саратов-Волгоград" (выезд)</t>
  </si>
  <si>
    <t>автоподъезд к с. Михайловка от автомобильной дороги "Р-22 "Каспий" автомобильная дорога М-4 "Дон" - Тамбов - Волгоград - Астрахань, подъезд к г. Саратов"</t>
  </si>
  <si>
    <t>автомобильная дорога "Саратов - Дубки - Новая Липовка" - автомобильная дорога "Шевыревка - Сабуровка"</t>
  </si>
  <si>
    <t xml:space="preserve"> 0+000 </t>
  </si>
  <si>
    <t xml:space="preserve"> 7+890 </t>
  </si>
  <si>
    <t>автомобильная дорога "Саратов - Дубки - Новая Липовка"</t>
  </si>
  <si>
    <t>автомобильная дорога "Саратов - Красный Текстильщик"</t>
  </si>
  <si>
    <t>автомобильная дорога "Тепличный - Березина Речка" на участке км 0+780 - км 2+200</t>
  </si>
  <si>
    <t>автоподъезд к п. Расково от автомобильной дороги "Саратов - Дубки - Новая Липовка"</t>
  </si>
  <si>
    <t>автомобильная дорога "Прибрежный - Шумейка - Генеральское"</t>
  </si>
  <si>
    <t>0+000</t>
  </si>
  <si>
    <t>12+500</t>
  </si>
  <si>
    <t>автомобильная дорога "Генеральское - Красный Яр"</t>
  </si>
  <si>
    <t>автоподъезд к г. Энгельс от автомобильной дороги "А-298 автомобильная дорога Р-228 "Сызрань - Саратов - Волгоград" - Пристанное - Ершов - Озинки - граница с Республикой Казахстан"</t>
  </si>
  <si>
    <t>10+010</t>
  </si>
  <si>
    <t>12+240</t>
  </si>
  <si>
    <t>12+460</t>
  </si>
  <si>
    <t>14+460</t>
  </si>
  <si>
    <t>устройство освещения</t>
  </si>
  <si>
    <t>автомобильная дорога "Самара - Пугачев - Энгельс - Волгоград" (в пределах Марксовского района)</t>
  </si>
  <si>
    <t>338+200</t>
  </si>
  <si>
    <t xml:space="preserve"> 338+200 </t>
  </si>
  <si>
    <t xml:space="preserve"> 357+285 </t>
  </si>
  <si>
    <t xml:space="preserve"> 359+255 </t>
  </si>
  <si>
    <t xml:space="preserve"> 369+780 </t>
  </si>
  <si>
    <t xml:space="preserve"> 372+084 </t>
  </si>
  <si>
    <t>автомобильная дорога "Самара - Пугачев - Энгельс - Волгоград" (в пределах Ровенского района)</t>
  </si>
  <si>
    <t>452+500</t>
  </si>
  <si>
    <t>455+500</t>
  </si>
  <si>
    <t>462+000</t>
  </si>
  <si>
    <t>475+000</t>
  </si>
  <si>
    <t>453+555</t>
  </si>
  <si>
    <t>автомобильный мост "Саратов - Энгельс"</t>
  </si>
  <si>
    <t>805807</t>
  </si>
  <si>
    <t>автомобильная дорога "Самара - Пугачев - Энгельс - Волгоград" (в пределах Энгельсского района)</t>
  </si>
  <si>
    <t xml:space="preserve"> 376+523 </t>
  </si>
  <si>
    <t xml:space="preserve"> 386+324 </t>
  </si>
  <si>
    <t xml:space="preserve"> 386+750 </t>
  </si>
  <si>
    <t xml:space="preserve"> 387+530 </t>
  </si>
  <si>
    <t xml:space="preserve">389+784 </t>
  </si>
  <si>
    <t xml:space="preserve"> 443+800 </t>
  </si>
  <si>
    <t xml:space="preserve">452+500 </t>
  </si>
  <si>
    <t>394+354</t>
  </si>
  <si>
    <t>установка дорожных знаков</t>
  </si>
  <si>
    <t>автоподъезд к р.п. Ровное от автомобильной дороги "Самара - Пугачев - Энгельс - Волгоград"</t>
  </si>
  <si>
    <t>0+990</t>
  </si>
  <si>
    <t>автомобильная дорога "Красный Яр - Усть-Караман"</t>
  </si>
  <si>
    <t>автоподъезд к с. Терновка от автомобильной дороги "Самара - Пугачев - Энгельс - Волгоград"</t>
  </si>
  <si>
    <t>2+600</t>
  </si>
  <si>
    <t>автоподъезд к с. Квасниковка от автомобильной дороги "А-298 автомобильная дорога Р-228 "Сызрань - Саратов - Волгоград" - Пристанное - Ершов - Озинки - граница с Республикой Казахстан"</t>
  </si>
  <si>
    <t>12+200</t>
  </si>
  <si>
    <t>автоподъезд к с. Синенькие от автомобильной дороги "Р-228 "Сызрань - Саратов - Волгоград"</t>
  </si>
  <si>
    <t>автоподъезд к с. Красный Яр от автомобильной дороги "Самара - Пугачев - Энгельс - Волгоград"</t>
  </si>
  <si>
    <t>6+100</t>
  </si>
  <si>
    <t>автоподъезд к с. Осиновка - с. Липовка от автомобильной дороги "Самара - Пугачев - Энгельс - Волгоград"</t>
  </si>
  <si>
    <t>6+823</t>
  </si>
  <si>
    <t>7+823</t>
  </si>
  <si>
    <t>4+000</t>
  </si>
  <si>
    <t>6+700</t>
  </si>
  <si>
    <t>автомобильная дорога "Елшанка - Песчаный Умет" на участке км 3+640 - км 21+700</t>
  </si>
  <si>
    <t>11+490</t>
  </si>
  <si>
    <t>Мероприятия по поддержанию транспортно-эксплуатационного состояния автомобильных дорог на уровне, соответствующем нормативным требованиям</t>
  </si>
  <si>
    <t>укладка слоев износа</t>
  </si>
  <si>
    <t>ВСЕГО</t>
  </si>
  <si>
    <t>ремонт покрытия проезжей части</t>
  </si>
  <si>
    <t>капитальный ремонт</t>
  </si>
  <si>
    <t>реконструкция</t>
  </si>
  <si>
    <t>строительство</t>
  </si>
  <si>
    <t>шт.</t>
  </si>
  <si>
    <t>Диагностика</t>
  </si>
  <si>
    <t>устройство светофорных объектов</t>
  </si>
  <si>
    <t xml:space="preserve"> I. Автомобильные дороги местного значения (улицы) г. Саратова</t>
  </si>
  <si>
    <t>Дорога на Усть-Курдюм 
(от КП ГИБДД до Гусельского моста)</t>
  </si>
  <si>
    <t>Пр. им. 50 лет Октября от ул. Тракторной до ул. Технической</t>
  </si>
  <si>
    <t>Пр. им. 50 лет Октября от ул. Техническая до пл. им. Ленина В.И.</t>
  </si>
  <si>
    <t>Пр. им. 50 лет Октября от пл. им. Ленина В.И. до ул. им. Панфилова И.В.</t>
  </si>
  <si>
    <t>Пр-т. Строителей</t>
  </si>
  <si>
    <t>ул. им. Академика O.K. Антонова</t>
  </si>
  <si>
    <t>ул.Соколовая от ул. им. Чернышевского до ул. Университетской</t>
  </si>
  <si>
    <t>Ул. Вольская от ул. Б.Казчьей до Соколовой</t>
  </si>
  <si>
    <t>Ул. им. Мичурина И.В. от ул. им. Челюскинцев до ул. им. Радищева А.Н.</t>
  </si>
  <si>
    <t>Ул. им. Мичурина И.В. от ул. им. Радищева А.Н. до ул. им. Рахова В.Г.</t>
  </si>
  <si>
    <t>Ул. Астраханская от ул.Шелковичной до ул. Б.Казачьей</t>
  </si>
  <si>
    <t>Ул. Соколовая от ул. Университетской до ул. им.Шехурдина А.П.</t>
  </si>
  <si>
    <t>Дорога от ул. им. Жуковского Н.Е. до ул. Плодородной</t>
  </si>
  <si>
    <t>Ул. Рабочая от ул. им. Радищева А.Н. до ул. им. Рахова В.Г.</t>
  </si>
  <si>
    <t>Ул. Рабочая от ул. им. Рахова В.Г. до ул. им. Пугачева Е.И., от ул. Астраханской до ул. Вокзальной</t>
  </si>
  <si>
    <t>Ул. Рабочая (от ул. Астраханская до ул. Пугачева Е.И., от ул. им. Емлютина Д.В. доу л.Б.Садовая)</t>
  </si>
  <si>
    <t>Ул. Б. Садовая (от ул. Новоузенской до ул. им. Слонова И.А.)</t>
  </si>
  <si>
    <t>Ул. Б. Садовая (от ул.им. Слонова И.А. до ул. Тракторной)</t>
  </si>
  <si>
    <t>Ул. Б. Садовая (от ул. Беговой до ул. Новоузенской)</t>
  </si>
  <si>
    <t>Ул. им. Тархова К.В.</t>
  </si>
  <si>
    <t>Ул. Аткарская (от ул. 2-й Садовой до путепровода)</t>
  </si>
  <si>
    <t xml:space="preserve">Ул. им. Серова А.К. </t>
  </si>
  <si>
    <t>Ул. Шелковичная (от ул. им. Рахова В.Г. до ул. Астраханской)</t>
  </si>
  <si>
    <t>Ул. Шелковичная (от ул. им. Чернышевского Н.Г. до ул. им. Рахова В.Г.)</t>
  </si>
  <si>
    <t xml:space="preserve">Ул. Аэропорт </t>
  </si>
  <si>
    <t>Объездная дорога (от ул. Аэропорт до ул. Соколовогорской)</t>
  </si>
  <si>
    <t>Ул. им. акад. Навашина С.Г.</t>
  </si>
  <si>
    <t>Ул. Симбирская (от ул. Кутякова до Объездной дороги)</t>
  </si>
  <si>
    <t>Ул. Техническая (от пр. им. 50 лет Октября до ул. им. акад. Навашина С.Г.)</t>
  </si>
  <si>
    <t>Ул. Астраханская (от ул.  Шелковичной до 2-го Станционного пр.)</t>
  </si>
  <si>
    <t>Ул. Астраханская (от ул. Б. Казачьей до ул. Соколовой)</t>
  </si>
  <si>
    <t>Ул. им. Челюскинцев (от ул. им. Мичурина И.В. до ул. им. Чернышевского Н.Г.)</t>
  </si>
  <si>
    <t>Ул. Белоглинская (от ул. им. Емлютина Д.В. до ул. Б.Садовой)</t>
  </si>
  <si>
    <t>Дорога ул. Мясницкая (от ул. Б. Горной до ул. Соколовогорской)</t>
  </si>
  <si>
    <t>Дорога ул. им. Хомяковой В.Д.</t>
  </si>
  <si>
    <t xml:space="preserve">Театральная площадь </t>
  </si>
  <si>
    <t>Ул. Ипподромная (путепровод на 3-й Дачной и подходы)</t>
  </si>
  <si>
    <t>Площадь им. Ленина В.И.</t>
  </si>
  <si>
    <t>Ново-Астраханское шоссе (от ул. Политехнической до поворота на Кумысную поляну)</t>
  </si>
  <si>
    <t>Ул. Соколовогорская 
(Дом № 2 - Дом № 24)</t>
  </si>
  <si>
    <t>Ул. Буровая 
(от ул. Панфилова, до ул. Елшанская)</t>
  </si>
  <si>
    <t>Ул. Топольчанская 
(от ул. Блинова до ул. Тархова)</t>
  </si>
  <si>
    <t>Ул. Танкистов (от ул. Соколовой до ул. им. акад. Навашина С.Г.)</t>
  </si>
  <si>
    <t xml:space="preserve">Ул. Тракторная </t>
  </si>
  <si>
    <t xml:space="preserve">Ул. Политехническая </t>
  </si>
  <si>
    <t>Ул. Беговая (от ул. Политехнической до ул. Б. Садовой)</t>
  </si>
  <si>
    <t>Ул. 2-я Садовая (от ул. Б. Садовой до ул. Политехнической)</t>
  </si>
  <si>
    <t>Ул. им. Емлютина Д.В. (от ул. Шелковичной до ул. Рабочей)</t>
  </si>
  <si>
    <t>Ул. им. Шехурдина А.П. (от ул. Соколовой до ул. Технической)</t>
  </si>
  <si>
    <t>Ул. им. Шехурдина А.П.</t>
  </si>
  <si>
    <t>Ул. им. Чернышевского Н.Г. (от 4-й горбольницы до ул. им. Орджоникидзе Г.К.)</t>
  </si>
  <si>
    <t>Ул. им. Чернышевского Н.Г. (от ул. им. Радищева А.Н. до Мельничного пр.)</t>
  </si>
  <si>
    <t xml:space="preserve">Привокзальная площадь </t>
  </si>
  <si>
    <t>Ул. Советская (от ул. им. Рахова В.Г. до ул. им. Радищева А.Н.)</t>
  </si>
  <si>
    <t>Ул. Большая Затонская (от ул. Валовой до кольца автобусного маршрута № 3)</t>
  </si>
  <si>
    <t>Ул. им. Кутякова И.С. (от ул. Аткарской до ул. им. Радищева А.Н.)</t>
  </si>
  <si>
    <t>Ул. Брянская (от ул. им. Азина В.М. до кольца авт. маршрута N 1)</t>
  </si>
  <si>
    <t>Ул. им. Азина В.М. (от пр-та Энтузиастов до ОАО "Нитрон")</t>
  </si>
  <si>
    <t>2-й Станционный пр. (от ул. Астраханской до ул. Дегтярная)</t>
  </si>
  <si>
    <t>Ул. Новоузенская (от ул. им. Чернышевского Н.Г. до ул. Астраханской, от ул. Вокзальной до ул. Маховой)</t>
  </si>
  <si>
    <t>Ул. им. Пугачева Е.И. (от ул. Рабочей до ул. Советской)</t>
  </si>
  <si>
    <t>Пр-т Энтузиастов (от ул. Крымской до ул. Брянской)</t>
  </si>
  <si>
    <t>ул. Московская (от ул. им. Горького А.М. до ул. им. Лермонтова М.Ю.)</t>
  </si>
  <si>
    <t>ул. Мичурина</t>
  </si>
  <si>
    <t>п.м</t>
  </si>
  <si>
    <t>Ул. Московская (от ул. им. Горького А.М. до Привокзальной пл.)</t>
  </si>
  <si>
    <t>Ул. им. Радищева А.Н. (от ул. им. Мичурина И.В. до ул. Соколовой)</t>
  </si>
  <si>
    <t>ул. Соколовая</t>
  </si>
  <si>
    <t>Ул. им. Горького А.М. (от ул. Б. Казачьей до ул. Соколовой)</t>
  </si>
  <si>
    <t>Ул. им. Орджоникидзе Г.К. (от пр-та Энтузиастов до ул. Авиастроителей)</t>
  </si>
  <si>
    <t>Ул. Авиастроителей (от ул. им. Орджоникидзе Г.К. до пр. Энтузиастов)</t>
  </si>
  <si>
    <t>Ул. им. Орджоникидзе Г.К. (от ул. им. Чернышевского Н.Г. до ОАО "Саратовгаз")</t>
  </si>
  <si>
    <t xml:space="preserve">Ул. им. Орджоникидзе Г.К. (от ОАО "Саратовгаз" до пр-та Энтузиастов) </t>
  </si>
  <si>
    <t>Пр-т Энтузиастов (от ул. им. Орджоникидзе Г.К. до ул. Крымской)</t>
  </si>
  <si>
    <t>Ул. им. Рахова В.Г.  (от ул. Б.Казачьей до ул. Соколовой)</t>
  </si>
  <si>
    <t>Дорога ул. им. Рахова В.Г. (от ул. Соколовой до 2-го Ремонтного пр.)</t>
  </si>
  <si>
    <t>Ул. им. Рахова В.Г. (от ул. Шелковичной до ул. Б.Казачьей)</t>
  </si>
  <si>
    <t>Ул. им. Рахова В.Г. (от ул. 2-й Садовой до ул. Шелковичной)</t>
  </si>
  <si>
    <t>Ул. им. Чапаева В.И. (от ул. Б. Казачьей до ул. Московской)</t>
  </si>
  <si>
    <t>Ул. им. Чапаева В.И.  (от Ильинской пл. до ул. им. Сакко и Ванцетти)</t>
  </si>
  <si>
    <t>Ул. им. Чапаева В.И.  (от ул. им. Сакко и Ванцетти до ул. Б. Казачьей)</t>
  </si>
  <si>
    <t xml:space="preserve">Ильинская площадь </t>
  </si>
  <si>
    <t>Ул. им. Горького А.М. (от ул. им. Сакко и Ванцетти до Б. Казачьей)</t>
  </si>
  <si>
    <t>Ул. им. Горького А.М. (от ул. им. Сакко и Ванцетти до Рабочего пер.)</t>
  </si>
  <si>
    <t>Ул. Б. Горная</t>
  </si>
  <si>
    <t>Ул. Вознесенская (от ул. Б. Горной до ул. Б. Горной)</t>
  </si>
  <si>
    <t>Ул.  им. Жуковского Н.Е.</t>
  </si>
  <si>
    <t>Ул. Б.Садовая</t>
  </si>
  <si>
    <t xml:space="preserve">Московское шоссе </t>
  </si>
  <si>
    <t>Ул. им. Чернышевского Н.Г. (от ул. им. Радищева А.Н. до ул. Соколовой)</t>
  </si>
  <si>
    <t>Ул. им. Радищева А.Н. (от ул. им. Мичурина И.В. до ул. им. Чернышевского Н.Г.)</t>
  </si>
  <si>
    <t>Ул. Советская (от ул. им. Рахова В.Г. до ул. им. Пугачева Е.И.)</t>
  </si>
  <si>
    <t>Ул. Советская (от ул. им. Пугачева Е.И. до ул. Астраханской)</t>
  </si>
  <si>
    <t>Ул. Плодородная (от ул. Танкистов до ул. Топольчанской)</t>
  </si>
  <si>
    <t xml:space="preserve">Ул. Высокая </t>
  </si>
  <si>
    <t>Ул. им. Панфилова И.В.</t>
  </si>
  <si>
    <t>ул. им. Тархова С.Ф. в микрорайоне № 6</t>
  </si>
  <si>
    <t>Дорога ул. Большая Садовая</t>
  </si>
  <si>
    <t>Дорога  от Московского шоссе до Елшанского кладбища</t>
  </si>
  <si>
    <t>ул. Им. Ст. Разина</t>
  </si>
  <si>
    <t xml:space="preserve"> дорога на Кумысной поляне (от ул. им. Маркина Н.Г. до границы с Октябрьским районом) </t>
  </si>
  <si>
    <t xml:space="preserve"> ул. Провиантская от ул. Советской до Рабочего пер. </t>
  </si>
  <si>
    <t>ул. им. Тулайкова Н.М.</t>
  </si>
  <si>
    <t xml:space="preserve"> Дорога ул. Октябрьская (от ул. им. Мичурина И.В. до ул. Кузнечной) </t>
  </si>
  <si>
    <t>Дорога  Соборная площадь</t>
  </si>
  <si>
    <t>Дорога  ул. 2-я Прокатная</t>
  </si>
  <si>
    <t>Дорога  ул. Вокзальная (от ул. Шелковичной до 15-го Белоглинского пр.)</t>
  </si>
  <si>
    <t>Дорога  ул. им. Лебедева-Кумача В.И. (от ул. им. академика О.К. Антонова до ул. им. Тархова С.Ф.)</t>
  </si>
  <si>
    <t>Дорога  ул. им. Разина С.Т. (от ул. Б. Казачьей до ул. Б. Горной)</t>
  </si>
  <si>
    <t>Дорога  ул. им. Разина С.Т. (от ул. Белоглинской до ул. Б. Казачьей)</t>
  </si>
  <si>
    <t>Дорога  ул. им. Чехова А.П.</t>
  </si>
  <si>
    <t>Дорога ул. им. Челюскинцев (от ул. им. Радищева А.Н. до ул. им. Мичурина И. В., от ул. им. Чернышевского Н.Г. до Набережной Космонавтов)</t>
  </si>
  <si>
    <t>Дорога  ул. Ипподромная</t>
  </si>
  <si>
    <t>Дорога  ул. Огородная</t>
  </si>
  <si>
    <t>Дорога  ул. Парковая</t>
  </si>
  <si>
    <t>Дорога  ул. Пензенская (от Ново-Астраханского шоссе до ул. Томской)</t>
  </si>
  <si>
    <t xml:space="preserve"> ул. им. Некрасова Н.А. (от Набережной Космонавтов до ул. им. Котовского Г.И., от ул. им. Челюскинцев до ул. Соколовой) </t>
  </si>
  <si>
    <t>Дорога  ул. Перспективная</t>
  </si>
  <si>
    <t>Ул. им. Блинова Ф.А. (от ул. Перспективной до 1-го Микрорайона)</t>
  </si>
  <si>
    <t>Дорога  ул. Тагильская</t>
  </si>
  <si>
    <t>Дорога  ул. Тульская</t>
  </si>
  <si>
    <t>1-й Тульский проезд от Азовской до Тульской</t>
  </si>
  <si>
    <t>Дорога  ул. Широкая</t>
  </si>
  <si>
    <t>Дорога ул. Танкистов (от ул. им. акад. Навашина С.Г. до ул. им. Бирюзова С.С. и от ул. Трудовой до ул. Зерновой)</t>
  </si>
  <si>
    <t xml:space="preserve">Дорога ул. им. Посадского </t>
  </si>
  <si>
    <t xml:space="preserve">Дорога 11-й Динамовский проезд </t>
  </si>
  <si>
    <t>Дорога 1-й Нефтяной пр.</t>
  </si>
  <si>
    <t>Дорога ул. им. Челюскинцев (от ул. им. Рахова В.Г. до ул. им Горького А.М.)</t>
  </si>
  <si>
    <t>Дорога 2-й Московский пр.</t>
  </si>
  <si>
    <t xml:space="preserve"> ул. Курдюмская </t>
  </si>
  <si>
    <t xml:space="preserve"> ул. Сызранская от ул. политехническая до ул. 8-я Линия </t>
  </si>
  <si>
    <t>Дорога 3-й Нагорный пр.</t>
  </si>
  <si>
    <t>Дорога 4-й Комсомольский пр.</t>
  </si>
  <si>
    <t xml:space="preserve"> ул. Лунная  </t>
  </si>
  <si>
    <t>Ул. им. Исаева Н.В</t>
  </si>
  <si>
    <t>Дорога ул. им. Блинова Ф.А. (от ул.Производственной до ул.Перспективной)</t>
  </si>
  <si>
    <t>Дорога 1-й проезд Строителей</t>
  </si>
  <si>
    <t>пр-т Строителей</t>
  </si>
  <si>
    <t>Дорога ул. Ясельная</t>
  </si>
  <si>
    <t>Просп. им. 50 лет Октября местные проезды в Кировском районе: левая сторона от дома № 5 до ул. Алексеевская; правая сторона от д.№18 до ул. Технической</t>
  </si>
  <si>
    <t>Театральная площадь (от ул. им. Радищева А.Н. до ул. им. Горького А.М.)</t>
  </si>
  <si>
    <t>Дорога Бабушкин взвоз</t>
  </si>
  <si>
    <t>Дорога Больничный пр.</t>
  </si>
  <si>
    <t xml:space="preserve"> ул. им. Моисеева Ю.С. от Песчанно-Уметского тракта до ул. Встречной </t>
  </si>
  <si>
    <t xml:space="preserve"> ул. Огородная от 11 Динамовского пр-да до 5-го Динамовского пр-да, от ул. Соликамской до ул. Травяной </t>
  </si>
  <si>
    <t>Дорога в пос. Увек (от ул. Брянской до кольца авт.маршрута №22 на ул. Увекской)</t>
  </si>
  <si>
    <t>Дорога в промзоне ВСО</t>
  </si>
  <si>
    <t>Санаторий "Октябрьское ущелье"</t>
  </si>
  <si>
    <t>Дорога Вокзальный пр.</t>
  </si>
  <si>
    <t>Дорога  ул. Майская</t>
  </si>
  <si>
    <t>Дорога Дачный пр.</t>
  </si>
  <si>
    <t>Дорога Дегтярная пл.</t>
  </si>
  <si>
    <t>Дорога Деловой тупик</t>
  </si>
  <si>
    <t>Дорога к р. Волге по маршруту авт.№34</t>
  </si>
  <si>
    <t>Дорога Князевский взвоз</t>
  </si>
  <si>
    <t>2-й Совхозный проезд от ул.Химическая до Лесной</t>
  </si>
  <si>
    <t>Дорога ул. им. Куприянова А.И..</t>
  </si>
  <si>
    <t>Дорога ул. Международная</t>
  </si>
  <si>
    <t>Дорога Международный пр.</t>
  </si>
  <si>
    <t>Дорога Молодежный пр.</t>
  </si>
  <si>
    <t>Дорога ул. им. Вавилова Н.И. (от Мирного пер. до ул. им. Рахова В.Г)</t>
  </si>
  <si>
    <t>Дорога Музейная площадь</t>
  </si>
  <si>
    <t>Дорога на 2-ю Гуселку</t>
  </si>
  <si>
    <t>Дорога на Кумысную поляну по ул. Новоузенской (от ул. Маховой до детского оздоровительного центра "Березка")</t>
  </si>
  <si>
    <t>Дорога на Новый Увек (от поворота авт. маршрута №22 до кольца авт. маршрута №36)</t>
  </si>
  <si>
    <t>Дорога Набережная Космонавтов</t>
  </si>
  <si>
    <t>13-й Белоглинский проезд</t>
  </si>
  <si>
    <t>ул. им. Григорьева Е.Ф. (от ул. им. Некрасова Н.А. до ул. им. Чернышевского Н.Г.)</t>
  </si>
  <si>
    <t>Фруктовый проезд</t>
  </si>
  <si>
    <t>3-й Курдюмский проезд</t>
  </si>
  <si>
    <t>16 Белоглинский проезд</t>
  </si>
  <si>
    <t>ул. 1-я Беговая</t>
  </si>
  <si>
    <t>ул. Б. Садовая</t>
  </si>
  <si>
    <t>Дорога ул. Беговая</t>
  </si>
  <si>
    <t>Ул. Новоузенская (от ул. Астраханской до 
ул. Вокзальной)</t>
  </si>
  <si>
    <t>ул. Соляная</t>
  </si>
  <si>
    <t>Дорога  ул. Шелковичная (от ул. Вокзальной до поселка НИТИ)</t>
  </si>
  <si>
    <t>ул.Химическая</t>
  </si>
  <si>
    <t>Дорога от ул. Городской до кольца авт. маршрута №13)</t>
  </si>
  <si>
    <t>Дорога от ул. им. Маркина Н.Г. (от Ново-Астраханского шоссе до пос. Тепличный)</t>
  </si>
  <si>
    <t>Дорога П.-Уметский тракт</t>
  </si>
  <si>
    <t>Дорога по маршруту авт.№4 от ул. им. Маркина Н.Г. до пос. Калашниково</t>
  </si>
  <si>
    <t>Дорога по территории с/х "Комбайн" (от дороги на Усть-Курдюм до кольца авт.маршрута №9)</t>
  </si>
  <si>
    <t>Подъездная дорога до ГУЗ "Областная офтальмологическая больница"</t>
  </si>
  <si>
    <t>Дорога по 5-му Лесопильному пр. (от проспекта Энтузиастов до кольца авт. маршрута №20)</t>
  </si>
  <si>
    <t>Дорога пр. им. Клочкова В.Г.</t>
  </si>
  <si>
    <t>Дорога подъездная дорога от ул. Гвардейской до ГУЗ "Областной госпиталь ветеранов войны "Центр реабилитации"</t>
  </si>
  <si>
    <t>Дорога 2-й Детский пр.</t>
  </si>
  <si>
    <t>Дорога ул. им. Котовского Г.И.</t>
  </si>
  <si>
    <t>Дорога ул. им. Попова А.С.</t>
  </si>
  <si>
    <t>Дорога ул. им. Щорса Н.А.</t>
  </si>
  <si>
    <t>ул. Гвардейская</t>
  </si>
  <si>
    <t>Дорога ул. им. Спартака</t>
  </si>
  <si>
    <t xml:space="preserve"> ул. им. Загороднева В.И. (от ул. Измайлова до ул. Зеркальной) </t>
  </si>
  <si>
    <t>Дорога 3-й Товарный пр.</t>
  </si>
  <si>
    <t>ул.Б.Садовая</t>
  </si>
  <si>
    <t>Дорога ул. им. Космодемьянской З.А.</t>
  </si>
  <si>
    <t>Дорога ул. им. Гоголя Н.В.</t>
  </si>
  <si>
    <t xml:space="preserve"> ул. Измайлова (от ул. 2-й Прокатной до ул. им. Загороднева В.И.) </t>
  </si>
  <si>
    <t>Дорога ул. Производственная</t>
  </si>
  <si>
    <t xml:space="preserve"> ул. Аткарская от ул. Б.Казачья до ул. им. Посадского </t>
  </si>
  <si>
    <t>Дорога ул. им. Генерала Захарова</t>
  </si>
  <si>
    <t>ул. Волгоградская</t>
  </si>
  <si>
    <t xml:space="preserve"> ул. Миллеровская</t>
  </si>
  <si>
    <t>Дорога ул. Рабочая (от ул. Вокзальной до ул. им.Емлютина Д.В., от ул. Большой Садовой до жилого дома №226)</t>
  </si>
  <si>
    <t>Дорога ул. 1-я Поперечная</t>
  </si>
  <si>
    <t xml:space="preserve">ул. 1-я Прокатная </t>
  </si>
  <si>
    <t xml:space="preserve"> Дорога ул. Елшанская </t>
  </si>
  <si>
    <t>Дорога пр-т им. 50 лет Октября (местный пр-д от ул. Вишневой до ул. им. Дубовика Б.А.)</t>
  </si>
  <si>
    <t>Дорога пр-т им. 50 лет Октября (местный пр-д, заводская сторона от ул. Технической до делового тупика)</t>
  </si>
  <si>
    <t>Дорога Сокурский тракт</t>
  </si>
  <si>
    <t>Дорога ул. 1-я Садовая</t>
  </si>
  <si>
    <t>Дорога ул. Белоглинская (от ул. им.Рахова В.Г. до ул. им.Емлютина Д.В.,от ул.Большой Садовой до 13-го Шелковичного пр.) - (от Емлютина до Вокзалиной; от Ст. Разина до Университетской</t>
  </si>
  <si>
    <t>Дорога ул. 2-й Магнитный проезд</t>
  </si>
  <si>
    <t>ул. им. Дубовикова Б.А.</t>
  </si>
  <si>
    <t>Дорога ул. Соборная (от Соборной пл. до ул. им. Челюскинцев)</t>
  </si>
  <si>
    <t xml:space="preserve"> ул. им. Некрасова Н.А. (от ул. им. Котовского Г.И. до ул. им. Челюскинцев) </t>
  </si>
  <si>
    <t>Дорога ул. им. 53-й Стрелковой дивизии</t>
  </si>
  <si>
    <t>Дорога ул. 4-я Выселочная</t>
  </si>
  <si>
    <t xml:space="preserve"> ул. Встречная (от ул. Строителей до железнодорожной станции) </t>
  </si>
  <si>
    <t>Дорога ул. 5-я Дачная</t>
  </si>
  <si>
    <t xml:space="preserve"> ул. Зеркальная (от ул. 1-й Прокатной до ул. 2-й Прокатной, от ул. им. Загороднева В.И. до просп. Строителей) </t>
  </si>
  <si>
    <t xml:space="preserve"> ул. Вознесенская от ул. Б.Горная до ул. Октябрьской </t>
  </si>
  <si>
    <t>Дорога ул. 7-я Нагорная (от просп. Энтузиастов до Н.Астраханского шоссе)</t>
  </si>
  <si>
    <t>Дорога ул. Актюбинская</t>
  </si>
  <si>
    <t>Дорога ул. Алексеевская</t>
  </si>
  <si>
    <t xml:space="preserve"> ул. им. Вавилова Н.И. (от ул. Университетской до ул. им. Рахова В.Г.) </t>
  </si>
  <si>
    <t>ул.Прудная</t>
  </si>
  <si>
    <t>ул. 1-я Аптечная</t>
  </si>
  <si>
    <t xml:space="preserve"> ул. им. Ломоносова М.В. от пр-та Строителей до ул. 1-я Прокатная </t>
  </si>
  <si>
    <t>ул. Артиллерийская</t>
  </si>
  <si>
    <t>Первомайская от Чернышевского до Лермонтова</t>
  </si>
  <si>
    <t>ул. Бакинская</t>
  </si>
  <si>
    <t>ул. Барнаульская</t>
  </si>
  <si>
    <t>Автодорога от ул. Б.Затонской до дороги на Займище  (район рынка стройматериалов)</t>
  </si>
  <si>
    <t>ул. Бахметьевская</t>
  </si>
  <si>
    <t>ул. им. Зарубина В.С.</t>
  </si>
  <si>
    <t>ул. Бережная</t>
  </si>
  <si>
    <t>Ул. Б. Горная  от Горького до 1 Выселочной (ремонт- от Таннкистов до Мурманского пр.)</t>
  </si>
  <si>
    <t xml:space="preserve"> Дорога ул. Одесская </t>
  </si>
  <si>
    <t>ул.Лесная от Маркина до Парковой</t>
  </si>
  <si>
    <t>ул. Валовая</t>
  </si>
  <si>
    <t>ул. Вишневая</t>
  </si>
  <si>
    <t>ул. Вольская (от ул. Б. Казачьей до ул. Набережной)</t>
  </si>
  <si>
    <t xml:space="preserve">ул. Вольская </t>
  </si>
  <si>
    <t>ул. Встречная</t>
  </si>
  <si>
    <t>ул. Выгонная</t>
  </si>
  <si>
    <t xml:space="preserve"> 2-й Украинский пр. от ул. Тракторной до 3-го Светланского проезда </t>
  </si>
  <si>
    <t>Дорога ул. 2-я Садовая (от ул. им. Чернышевского Н.Г. до ул. Астраханской), (от ул. им. Разина С.Т. до ул. Б. Садовой), (от ул. Политехнической до обл. больныцы)</t>
  </si>
  <si>
    <t>Дорога ул. Гусельская</t>
  </si>
  <si>
    <t xml:space="preserve"> ул. Безымянная от ул. Танкистов до 6-го проезда в пос. Пугачевский </t>
  </si>
  <si>
    <t>Дорога ул. Деловая (от пр-та 50 лет Октября до ул. Лунная)</t>
  </si>
  <si>
    <t>ул. Летняя</t>
  </si>
  <si>
    <t>Дорога ул. им. Лермонтова М.Ю. (от ул. Октябрьской до Нескучного пер.,от Обуховского пр. до ул. им. Федина К.А., от ул. Соколовой до ул. М.Горная)</t>
  </si>
  <si>
    <t>Дорога ул. Нижняя Сорговая</t>
  </si>
  <si>
    <t>Усть-Курдюмская (местный проезд)</t>
  </si>
  <si>
    <t>ул. Первомайская (от ул. им. Чернышевского Н.Г. до ул. им. Радищева А.Н.)</t>
  </si>
  <si>
    <t>Пожарный проезд</t>
  </si>
  <si>
    <t>ул. Огородная</t>
  </si>
  <si>
    <t>Дорога пос. Солнечный - пос.Юбилейный</t>
  </si>
  <si>
    <t xml:space="preserve">Колхозная площадь </t>
  </si>
  <si>
    <t>Мурманский пр. (от ул. Соколовой до ул.Б. Горной)</t>
  </si>
  <si>
    <t xml:space="preserve">Ул. Дегтярная </t>
  </si>
  <si>
    <t>Ул. 7-я Нагорная (от пр-та Энтузиастов до Н.Астраханского шоссе)</t>
  </si>
  <si>
    <t>Ул. Университетская (от ул. Соколовой до ул. Б. Казачьей)</t>
  </si>
  <si>
    <t>Ул. Университетская (от ул. Б. Казачьей до ул. Белоглинской)</t>
  </si>
  <si>
    <t>Ул. Крымская (от Новоастраханского шоссе до пр-та Энтузиастов)</t>
  </si>
  <si>
    <t>Ул. им. Пугачева Е.И.</t>
  </si>
  <si>
    <t>Ул. Железнодорожная</t>
  </si>
  <si>
    <t>ул. им. Гоголя Н.В.</t>
  </si>
  <si>
    <t>Дорога ул. Ульяновская</t>
  </si>
  <si>
    <t>Дорога ул. им. Шевченко Т.Г.</t>
  </si>
  <si>
    <t>Дорога ул. им. Дзержинского Ф.Э. (от ул. им. Чапаева В.И. до ул. им. Горького А.М.)</t>
  </si>
  <si>
    <t>Дорога ул. им. Хользунова А.И.</t>
  </si>
  <si>
    <t>ул. им. Симбирцева В.М.</t>
  </si>
  <si>
    <t>ул. Провиантская</t>
  </si>
  <si>
    <t>Дорога ул. им. Е.Ф. Григорьева (от ул. Соборной до ул. им. Некрасова Н.А., ул.им. Чернышевского Н.Г. до ул. им. Лермонтова М.Ю.)</t>
  </si>
  <si>
    <t>Дорога ул. Комсомольская (от ул. им. Чернышевского Н.Г. до ул. им. Челюскинцев)</t>
  </si>
  <si>
    <t>Дорога 1-й пр. им. Панфилова И.В.</t>
  </si>
  <si>
    <t>Дорога 2-й пр. им. Панфилова И.В.</t>
  </si>
  <si>
    <t>Дорога 3-й пр. им. Панфилова И.В</t>
  </si>
  <si>
    <t>Дорога ул. Олимпийская</t>
  </si>
  <si>
    <t>Дорога ул. им. Спицина Б.В.</t>
  </si>
  <si>
    <t>Дорога ул. им. Мамонтовой В.Н.</t>
  </si>
  <si>
    <t>Дорога ул. Тверская</t>
  </si>
  <si>
    <t>Дорога ул. Раздольная</t>
  </si>
  <si>
    <t>ул. Цветочная</t>
  </si>
  <si>
    <t>ул. им. Героя Советского Союза Ароновой Р.Е.</t>
  </si>
  <si>
    <t>Дорога ул. Крайняя</t>
  </si>
  <si>
    <t>Дорога ул. Луговая</t>
  </si>
  <si>
    <t>1-й Пугачевский пос., 3-й проезд</t>
  </si>
  <si>
    <t>ул. им. Маяковского В.В.</t>
  </si>
  <si>
    <t>Московское шоссе (малая дорога от 1-го до 3-го Московского проезда)</t>
  </si>
  <si>
    <t>ул. Молодежная</t>
  </si>
  <si>
    <t>ул. Молодежная до кольца автобусного маршрута N 19</t>
  </si>
  <si>
    <t>ул. Пензенская (от ул. Томской до кольца автобусного маршрута N 21 на Новой 9-й Линии)</t>
  </si>
  <si>
    <t>ул. Абрикосовая</t>
  </si>
  <si>
    <t>ул. им. Муленкова А.П. лит. Д25</t>
  </si>
  <si>
    <t>Дорога 6-й Динамовский пр.</t>
  </si>
  <si>
    <t>Дорога ул. им. Расковой М.М.</t>
  </si>
  <si>
    <t>Дорога ул. Заречная</t>
  </si>
  <si>
    <t>Дорога от ул. Заречной до Березиной речки (авт.№226)</t>
  </si>
  <si>
    <t>Дорога 5-й Динамовский пр. (от Ново-Астраханского шоссе до ул. Миллеровской)</t>
  </si>
  <si>
    <t>ул. Молодежная (пос. Жасминный)</t>
  </si>
  <si>
    <t>ул. Светлая (пос. Жасминный)</t>
  </si>
  <si>
    <t>ул. им. Шехурдина А.П. (местный проезд от НИИ-28 до Трофимовского моста)</t>
  </si>
  <si>
    <t>5-й Нагорный пр. (от Ново-Астраханского шоссе до ул. 4-й Нагорной)</t>
  </si>
  <si>
    <t>ул. 4-я Нагорная (от 5-го Нагорного пр. до ул. Прессовой)</t>
  </si>
  <si>
    <t>ул. Прессовая (от ул. 4-й Нагорной до 6-го Нагорного пр.)</t>
  </si>
  <si>
    <t>6-й Нагорный пр. (от ул. Прессовой до ул. Донской)</t>
  </si>
  <si>
    <t>ул. Донская (от 6-го Нагорного пр. до 7-го Нагорного пр.)</t>
  </si>
  <si>
    <t>7-й Нагорный пр. (от ул. Донской до ул. Прессовой)</t>
  </si>
  <si>
    <t>ул. 4-я Прокатная</t>
  </si>
  <si>
    <t>Дорога ул. Мира</t>
  </si>
  <si>
    <t>Дорога ул. Мостовая</t>
  </si>
  <si>
    <t>Дорога ул. Электронная</t>
  </si>
  <si>
    <t>ул. им. Академика О.К. Антонова (местный проезд от просп. Строителей до ул. Производственной)</t>
  </si>
  <si>
    <t>Ул.Антонова ПК3+23 до т.А (ПК5+59.28)</t>
  </si>
  <si>
    <t>Автомобильная дорога по ул. Плодородная, пос. Солнечный,мкр. 1А</t>
  </si>
  <si>
    <t>Дорога ул. Техническая</t>
  </si>
  <si>
    <t xml:space="preserve">Дорога ул. им. Менякина </t>
  </si>
  <si>
    <t>ул. им. Зыбина</t>
  </si>
  <si>
    <t>ул. им. Гришаева</t>
  </si>
  <si>
    <t>ул. 3-я Окольная</t>
  </si>
  <si>
    <t>ул. 4-я Окольная</t>
  </si>
  <si>
    <t>Дорога от 3-ей Окольной до 4-ой Окольной</t>
  </si>
  <si>
    <t>Дорога ул. Бульварная</t>
  </si>
  <si>
    <t>шт</t>
  </si>
  <si>
    <t>Экспертиза смет</t>
  </si>
  <si>
    <t>ИТОГО по автомобильным дорогам местного значения (улицы) г. Саратова</t>
  </si>
  <si>
    <t>Всего</t>
  </si>
  <si>
    <t xml:space="preserve">                                                                                                                                                         Объекты, финансируемые из прочих источников (справочно)</t>
  </si>
  <si>
    <t xml:space="preserve">Автомобильные дороги федерального значения     </t>
  </si>
  <si>
    <t>1Р-228 Сызрань - Саратов -Волгоград
 (км 242+000 - км 375+000)</t>
  </si>
  <si>
    <t>1Р-158 Нижний Новгород - Саратов 
(км 566+914 - км 616+914)</t>
  </si>
  <si>
    <t>Р-22 "Каспий" автомобильная дорога М-4 "Дон" - Тамбов - Волгоград - Астрахань, подъезд к. Саратову 
(км 679+594 - км 729+594)</t>
  </si>
  <si>
    <t>Итого по автомобильным дорогам федерального значения</t>
  </si>
  <si>
    <t xml:space="preserve">                                                                                                                                                                                                             Автомобильные дороги местного значения (улицы) (справочно)</t>
  </si>
  <si>
    <t>ИТОГО по автомобильным дорогам местного значения (улицы)</t>
  </si>
  <si>
    <t>ИТОГО по автомобильным дорогам местного значения (улицам) (справочно)</t>
  </si>
  <si>
    <t>нанесение разметки</t>
  </si>
  <si>
    <t xml:space="preserve">установка тросового/барьерного ограждения </t>
  </si>
  <si>
    <t>ремонт тротуаров</t>
  </si>
  <si>
    <t>установка направляющих устройств</t>
  </si>
  <si>
    <t>шероховатая поверхностная обработка</t>
  </si>
  <si>
    <t>обработка защитной пропиткой</t>
  </si>
  <si>
    <t>установка водоотводных лотков</t>
  </si>
  <si>
    <t>очистка водоотводных полос</t>
  </si>
  <si>
    <t>установка камер автоматической фото- видеофиксации нарушения ПДД</t>
  </si>
  <si>
    <t>другое</t>
  </si>
  <si>
    <t>Резервные объекты на автомобильных дорогах городской агломерации, реализация мероприятий на которых возможна при условии увеличения финансирования национального проекта, либо за счет экономии, возникшей в результате снижения начальной (максимальной) цены контрактов при проведении конкурсных процедур.</t>
  </si>
  <si>
    <t>Итого по резервным объектам</t>
  </si>
  <si>
    <t>ИТОГО по резервным объектам</t>
  </si>
  <si>
    <t>Таблица № 1. Перечень автомобильных дорог регионального и межмуниципального значения и планируемые мероприятия на них для достижения целевых показателей по Саратовской области</t>
  </si>
  <si>
    <t>№
п/п</t>
  </si>
  <si>
    <t xml:space="preserve">Наименование автомобильной дороги </t>
  </si>
  <si>
    <t>Идентификатор</t>
  </si>
  <si>
    <t>Протяженность и площадь покрытия дороги</t>
  </si>
  <si>
    <t>автоподъезд к с. Калининское от автомобильной дороги "Степное - Мечетное - Любимово" (в пределах Советского района)</t>
  </si>
  <si>
    <t>63-000-000 ОП МЗ 63 Н-00024</t>
  </si>
  <si>
    <t/>
  </si>
  <si>
    <t>3+000</t>
  </si>
  <si>
    <t>автоподъезд к с. Калининское от автомобильной дороги "Степное - Мечетное - Любимово" (в пределах Марксовского района)</t>
  </si>
  <si>
    <t>10+300</t>
  </si>
  <si>
    <t>805721</t>
  </si>
  <si>
    <t>автомобильная дорога "Новые Бурасы - Кутьино - Вязьмино - Петровск" (в пределах Новобурасского района)</t>
  </si>
  <si>
    <t>63-000-000 ОП МЗ 63 Н-00025</t>
  </si>
  <si>
    <t>10+000</t>
  </si>
  <si>
    <t>26+100</t>
  </si>
  <si>
    <t>34+100</t>
  </si>
  <si>
    <t>18+100</t>
  </si>
  <si>
    <t>автомобильная дорога "Новые Бурасы - Кутьино - Вязьмино - Петровск" (в пределах Петровского района)</t>
  </si>
  <si>
    <t>41+300</t>
  </si>
  <si>
    <t>53+300</t>
  </si>
  <si>
    <t>5+000</t>
  </si>
  <si>
    <t>58+500</t>
  </si>
  <si>
    <t>805667</t>
  </si>
  <si>
    <t>автомобильная дорога "Пугачев - Перелюб" - Клинцовка - Октябрьский" (в пределах Пугачевского района)</t>
  </si>
  <si>
    <t>63-000-000 ОП МЗ 63 Н-00027</t>
  </si>
  <si>
    <t>805514</t>
  </si>
  <si>
    <t>автомобильная дорога "Балашов - Ртищево" (в пределах Аркадакского района)</t>
  </si>
  <si>
    <t>63-000-000 ОП РЗ 63 К-00004</t>
  </si>
  <si>
    <t>61+500</t>
  </si>
  <si>
    <t>65+600</t>
  </si>
  <si>
    <t>68+800</t>
  </si>
  <si>
    <t>79+800</t>
  </si>
  <si>
    <t>66+800</t>
  </si>
  <si>
    <t>автомобильная дорога "Балашов - Ртищево" (в пределах Балашовского района)</t>
  </si>
  <si>
    <t>6+780</t>
  </si>
  <si>
    <t>11+780</t>
  </si>
  <si>
    <t>автомобильная дорога "Балашов - Ртищево" (в пределах Ртищевского района)</t>
  </si>
  <si>
    <t>92+945</t>
  </si>
  <si>
    <t>805468</t>
  </si>
  <si>
    <t>автомобильная дорога "Урбах - Ждановка - Новоузенск - Александров Гай" (в пределах Александрово-Гайского района)</t>
  </si>
  <si>
    <t>63-000-000 ОП РЗ 63 К-00006</t>
  </si>
  <si>
    <t>автомобильная дорога "Урбах - Ждановка - Новоузенск - Александров Гай" (в пределах Краснокутского района)</t>
  </si>
  <si>
    <t>29+500</t>
  </si>
  <si>
    <t>34+500</t>
  </si>
  <si>
    <t>автомобильная дорога "Урбах - Ждановка - Новоузенск - Александров Гай" (в пределах Новоузенского района)</t>
  </si>
  <si>
    <t>автомобильная дорога "Урбах - Ждановка - Новоузенск - Александров Гай" (в пределах Питерского района)</t>
  </si>
  <si>
    <t>58+000</t>
  </si>
  <si>
    <t>67+000</t>
  </si>
  <si>
    <t>54+000</t>
  </si>
  <si>
    <t>805573</t>
  </si>
  <si>
    <t>автомобильная дорога "Аркадак - Турки" (в пределах Аркадакского района)</t>
  </si>
  <si>
    <t>63-000-000 ОП РЗ 63 К-00007</t>
  </si>
  <si>
    <t>автомобильная дорога "Аркадак - Турки" (в пределах Турковского района)</t>
  </si>
  <si>
    <t>14+830</t>
  </si>
  <si>
    <t>19+830</t>
  </si>
  <si>
    <t>23+742</t>
  </si>
  <si>
    <t>27+242</t>
  </si>
  <si>
    <t>805870</t>
  </si>
  <si>
    <t>автомобильная дорога "Аркадак - Соцземледельский - автомобильная дорога "Р-22 "Каспий" автомобильная дорога М-4 "Дон" - Тамбов - Волгоград - Астрахань, подъезд к г. Саратов" (в пределах Балашовского района)</t>
  </si>
  <si>
    <t>63-000-000 ОП РЗ 63 К-00008</t>
  </si>
  <si>
    <t>13+500</t>
  </si>
  <si>
    <t>автомобильная дорога "Аркадак - Соцземледельский - автомобильная дорога "Р-22 "Каспий" автомобильная дорога М-4 "Дон" - Тамбов - Волгоград - Астрахань, подъезд к г. Саратов" (в пределах Аркадакского района)</t>
  </si>
  <si>
    <t>10+700</t>
  </si>
  <si>
    <t>13+200</t>
  </si>
  <si>
    <t>2+000</t>
  </si>
  <si>
    <t>8+000</t>
  </si>
  <si>
    <t>805802</t>
  </si>
  <si>
    <t>автомобильная дорога "Балаково - Духовницкое" (в пределах Балаковского района)</t>
  </si>
  <si>
    <t>63-000-000 ОП РЗ 63 К-00010</t>
  </si>
  <si>
    <t>23+500</t>
  </si>
  <si>
    <t>30+500</t>
  </si>
  <si>
    <t>автомобильная дорога "Балаково - Духовницкое" (в пределах Духовницкого района)</t>
  </si>
  <si>
    <t>49+052</t>
  </si>
  <si>
    <t>55+052</t>
  </si>
  <si>
    <t>805803</t>
  </si>
  <si>
    <t>автомобильная дорога "Балашов - Романовка" (в пределах Балашовского района)</t>
  </si>
  <si>
    <t>63-000-000 ОП РЗ 63 К-00011</t>
  </si>
  <si>
    <t>11+200</t>
  </si>
  <si>
    <t>15+200</t>
  </si>
  <si>
    <t>автомобильная дорога "Балашов - Романовка" (в пределах Романовского района)</t>
  </si>
  <si>
    <t>25+200</t>
  </si>
  <si>
    <t>31+200</t>
  </si>
  <si>
    <t>40+200</t>
  </si>
  <si>
    <t>805517</t>
  </si>
  <si>
    <t>автомобильная дорога "Калининск - Широкий Уступ - Екатериновка" (в пределах Калининского района)</t>
  </si>
  <si>
    <t>63-000-000 ОП РЗ 63 К-00012</t>
  </si>
  <si>
    <t>805683</t>
  </si>
  <si>
    <t>автомобильная дорога "Озинки - Перелюб" на участке км 0 - км 50 + 170 (в пределах Озинского района)</t>
  </si>
  <si>
    <t>63-000-000 ОП РЗ 63 К-00013</t>
  </si>
  <si>
    <t>автомобильная дорога "Озинки - Перелюб" на участке км 62+800 - км 95+470 (в пределах Перелюбского района)</t>
  </si>
  <si>
    <t>84+470</t>
  </si>
  <si>
    <t>95+470</t>
  </si>
  <si>
    <t>автомобильная дорога "Самойловка - Казачка" (в пределах Калининского района)</t>
  </si>
  <si>
    <t>63-000-000 ОП РЗ 63 К-00015</t>
  </si>
  <si>
    <t>37+560</t>
  </si>
  <si>
    <t>42+560</t>
  </si>
  <si>
    <t>автомобильная дорога "Самойловка - Казачка" (в пределах Самойловского района)</t>
  </si>
  <si>
    <t>10+200</t>
  </si>
  <si>
    <t>20+200</t>
  </si>
  <si>
    <t>5+200</t>
  </si>
  <si>
    <t>805577</t>
  </si>
  <si>
    <t>автомобильная дорога "Аркадак - Баклуши"</t>
  </si>
  <si>
    <t>63-000-000 ОП РЗ 63 К-00056</t>
  </si>
  <si>
    <t>0+864</t>
  </si>
  <si>
    <t>5+864</t>
  </si>
  <si>
    <t>805477</t>
  </si>
  <si>
    <t>автомобильная дорога "Аткарск - Песчанка" - автомобильная дорога "Р-158 "Нижний Новгород - Арзамас - Саранск - Исса - Пенза - Саратов"</t>
  </si>
  <si>
    <t>63-000-000 ОП РЗ 63 К-00068</t>
  </si>
  <si>
    <t>35+833</t>
  </si>
  <si>
    <t>38+833</t>
  </si>
  <si>
    <t>805522</t>
  </si>
  <si>
    <t>автомобильная дорога "Аткарск - Умет"</t>
  </si>
  <si>
    <t>63-000-000 ОП РЗ 63 К-00075</t>
  </si>
  <si>
    <t>805821</t>
  </si>
  <si>
    <t>автоподъезд к г. Балаково от автомобильной дороги "Самара - Пугачев - Энгельс - Волгоград"</t>
  </si>
  <si>
    <t>63-000-000 ОП РЗ 63 К-00104</t>
  </si>
  <si>
    <t>805524</t>
  </si>
  <si>
    <t>автоподъезд к с. Никольское - Казаково от автомобильной дороги "Самара - Пугачев - Энгельс - Волгоград" на участке км 0+000 - км 19+601</t>
  </si>
  <si>
    <t>63-000-000 ОП РЗ 63 К-00108</t>
  </si>
  <si>
    <t>805692</t>
  </si>
  <si>
    <t>автоподъезд к с. Большой Кушум от автоподъезда к с. Никольское - Казаково от автомобильной дороги "Самара - Пугачев - Энгельс - Волгоград"</t>
  </si>
  <si>
    <t>63-000-000 ОП РЗ 63 К-00127</t>
  </si>
  <si>
    <t>4+300</t>
  </si>
  <si>
    <t>805693</t>
  </si>
  <si>
    <t>автоподъезд к с. Новая Елюзань - с. Комсомольское от автоподъезда к с. Большой Кушум от автоподъезда к с. Никольское - Казаково</t>
  </si>
  <si>
    <t>63-000-000 ОП РЗ 63 К-00132</t>
  </si>
  <si>
    <t>6+600</t>
  </si>
  <si>
    <t>автомобильная дорога "Вольск - Черкасское - Калмантай - граница Ульяновской области"</t>
  </si>
  <si>
    <t>63-000-000 ОП РЗ 63 К-00187</t>
  </si>
  <si>
    <t>46+900</t>
  </si>
  <si>
    <t>49+000</t>
  </si>
  <si>
    <t>14+000</t>
  </si>
  <si>
    <t>26+700</t>
  </si>
  <si>
    <t>40+000</t>
  </si>
  <si>
    <t>56+600</t>
  </si>
  <si>
    <t>63+353</t>
  </si>
  <si>
    <t>66+353</t>
  </si>
  <si>
    <t>автоподъезд к г. Балаково от автомобильной дороги "Р-228 "Сызрань - Саратов - Волгоград"</t>
  </si>
  <si>
    <t>63-000-000 ОП РЗ 63 К-00188</t>
  </si>
  <si>
    <t>2+300</t>
  </si>
  <si>
    <t>4+600</t>
  </si>
  <si>
    <t>5+614</t>
  </si>
  <si>
    <t>805697</t>
  </si>
  <si>
    <t>автомобильная дорога "Нижняя Чернавка - Кряжим - Николаевка"</t>
  </si>
  <si>
    <t>63-000-000 ОП РЗ 63 К-00202</t>
  </si>
  <si>
    <t>автомобильная дорога "Воскресенское - Синодское"</t>
  </si>
  <si>
    <t>63-000-000 ОП РЗ 63 К-00216</t>
  </si>
  <si>
    <t>28+300</t>
  </si>
  <si>
    <t>11+000</t>
  </si>
  <si>
    <t>805532</t>
  </si>
  <si>
    <t>автомобильная дорога "Духовницкое - Никольское - Богородское"</t>
  </si>
  <si>
    <t>63-000-000 ОП РЗ 63 К-00260</t>
  </si>
  <si>
    <t>805642</t>
  </si>
  <si>
    <t>автоподъезд к с. Новоселовка - с. Колено от автомобильной дороги "Калининск - Широкий Уступ - Екатериновка"</t>
  </si>
  <si>
    <t>63-000-000 ОП РЗ 63 К-00281</t>
  </si>
  <si>
    <t>3+500</t>
  </si>
  <si>
    <t>7+500</t>
  </si>
  <si>
    <t>805645</t>
  </si>
  <si>
    <t>автомобильная дорога "Калининск - Свердлово - Колокольцовка - Кленовка (Волгоградская область)" (в пределах Калининского района)</t>
  </si>
  <si>
    <t>63-000-000 ОП РЗ 63 К-00359</t>
  </si>
  <si>
    <t>15+000</t>
  </si>
  <si>
    <t>30+000</t>
  </si>
  <si>
    <t>805435</t>
  </si>
  <si>
    <t>автоподъезд к г. Красный Кут от автомобильной дороги "Урбах - Ждановка - Новоузенск - Александров Гай"</t>
  </si>
  <si>
    <t>63-000-000 ОП РЗ 63 К-00408</t>
  </si>
  <si>
    <t>16+089</t>
  </si>
  <si>
    <t>805609</t>
  </si>
  <si>
    <t>автомобильная дорога "Р-158 "Нижний Новгород - Арзамас - Саранск - Исса - Пенза - Саратов" - "Савкино - Лопатино (Пензенская область)" (в пределах Петровского района)</t>
  </si>
  <si>
    <t>63-000-000 ОП РЗ 63 К-00599</t>
  </si>
  <si>
    <t>805782</t>
  </si>
  <si>
    <t>автоподъезд к с. Питерка от автомобильной дороги "Урбах - Ждановка - Новоузенск - Александров Гай"</t>
  </si>
  <si>
    <t>63-000-000 ОП РЗ 63 К-00615</t>
  </si>
  <si>
    <t>0+054</t>
  </si>
  <si>
    <t>8+054</t>
  </si>
  <si>
    <t>19+054</t>
  </si>
  <si>
    <t>805855</t>
  </si>
  <si>
    <t>автомобильная дорога "Балаково - Духовницкое" - Пугачев"</t>
  </si>
  <si>
    <t>63-000-000 ОП РЗ 63 К-00631</t>
  </si>
  <si>
    <t>805449</t>
  </si>
  <si>
    <t>автомобильная дорога "Самара - Пугачев - Энгельс - Волгоград" на участке обхода г. Пугачева (км 0+000 - км 26+900)</t>
  </si>
  <si>
    <t>63-000-000 ОП РЗ 63 К-00641</t>
  </si>
  <si>
    <t>805669</t>
  </si>
  <si>
    <t>автомобильная дорога "Красноармейский - Мордовский Карай - Алексеевский - Памятка"</t>
  </si>
  <si>
    <t>63-000-000 ОП РЗ 63 К-00686</t>
  </si>
  <si>
    <t>805466</t>
  </si>
  <si>
    <t>автомобильная дорога "Романовка - Малое Щербедино"</t>
  </si>
  <si>
    <t>63-000-000 ОП РЗ 63 К-00689</t>
  </si>
  <si>
    <t>1+280</t>
  </si>
  <si>
    <t>6+280</t>
  </si>
  <si>
    <t>11+980</t>
  </si>
  <si>
    <t>805614</t>
  </si>
  <si>
    <t>автомобильная дорога "Ртищево - Правда"</t>
  </si>
  <si>
    <t>63-000-000 ОП РЗ 63 К-00713</t>
  </si>
  <si>
    <t>8+100</t>
  </si>
  <si>
    <t>805793</t>
  </si>
  <si>
    <t>автомобильная дорога "Ольшанка - Полоцкое", на участке км 0 + 418 - км 17 + 480</t>
  </si>
  <si>
    <t>63-000-000 ОП РЗ 63 К-00736</t>
  </si>
  <si>
    <t>5+478</t>
  </si>
  <si>
    <t>10+478</t>
  </si>
  <si>
    <t>17+078</t>
  </si>
  <si>
    <t>автоподъезд к р.п. Степное от автомобильной дороги "А-298 автомобильная дорога Р-228 "Сызрань - Саратов - Волгоград" - Пристанное - Ершов - Озинки - граница с Республикой Казахстан"</t>
  </si>
  <si>
    <t>63-000-000 ОП РЗ 63 К-00794</t>
  </si>
  <si>
    <t>12+400</t>
  </si>
  <si>
    <t>13+400</t>
  </si>
  <si>
    <t>10+400</t>
  </si>
  <si>
    <t>16+162</t>
  </si>
  <si>
    <t>805619</t>
  </si>
  <si>
    <t>автоподъезд к р.п. Советское от автоподъезда к р.п. Степное от автомобильной дороги "А-298 автомобильная дорога Р-228 "Сызрань - Саратов - Волгоград" - Пристанное - Ершов - Озинки - граница с Республикой Казахстан"</t>
  </si>
  <si>
    <t>63-000-000 ОП РЗ 63 К-00795</t>
  </si>
  <si>
    <t>автоподъезд к с. Демкино - с. Апалиха от автомобильной дороги "Р-228 "Сызрань - Саратов - Волгоград"</t>
  </si>
  <si>
    <t>63-000-000 ОП РЗ 63 К-00859</t>
  </si>
  <si>
    <t>9+480</t>
  </si>
  <si>
    <t>14+480</t>
  </si>
  <si>
    <t>6+033</t>
  </si>
  <si>
    <t>6+620</t>
  </si>
  <si>
    <t>16+620</t>
  </si>
  <si>
    <t>автомобильная дорога "Самара - Пугачев - Энгельс - Волгоград" (в пределах Балаковского района)</t>
  </si>
  <si>
    <t>63-000-000 ОП РЗ 63 Р-00002</t>
  </si>
  <si>
    <t>224+000</t>
  </si>
  <si>
    <t>230+700</t>
  </si>
  <si>
    <t>260+550</t>
  </si>
  <si>
    <t>271+322</t>
  </si>
  <si>
    <t>241+500</t>
  </si>
  <si>
    <t>248+000</t>
  </si>
  <si>
    <t>271+567</t>
  </si>
  <si>
    <t>274+460</t>
  </si>
  <si>
    <t>автомобильная дорога "Самара - Пугачев - Энгельс - Волгоград" (в пределах Ивантеевского района)</t>
  </si>
  <si>
    <t>117+450</t>
  </si>
  <si>
    <t>132+450</t>
  </si>
  <si>
    <t>139+250</t>
  </si>
  <si>
    <t>121+450</t>
  </si>
  <si>
    <t>126+450</t>
  </si>
  <si>
    <t>308+633</t>
  </si>
  <si>
    <t>319+633</t>
  </si>
  <si>
    <t>305+633</t>
  </si>
  <si>
    <t>автомобильная дорога "Самара - Пугачев - Энгельс - Волгоград" (в пределах Пугачевского района)</t>
  </si>
  <si>
    <t>166+000</t>
  </si>
  <si>
    <t>172+000</t>
  </si>
  <si>
    <t>156+000</t>
  </si>
  <si>
    <t>автомобильная дорога "Сосновка - Горячка" (в пределах Вольского района)</t>
  </si>
  <si>
    <t>63-000-000 ОП МЗ 63 Н-00017</t>
  </si>
  <si>
    <t>автомобильная дорога "Белогорное - Апалиха" (в пределах Вольского района)</t>
  </si>
  <si>
    <t>63-000-000 ОП МЗ 63 Н-00018</t>
  </si>
  <si>
    <t>805415</t>
  </si>
  <si>
    <t>автоподъезд к с. Марфино - с. Ершовка от автомобильной дороги "Аткарск - Песчанка" - автомобильная дорога "Р-158 "Нижний Новгород - Арзамас - Саранск - Исса - Пенза - Саратов"</t>
  </si>
  <si>
    <t>63-000-000 ОП РЗ 63 К-00070</t>
  </si>
  <si>
    <t>805580</t>
  </si>
  <si>
    <t>автоподъезд к с. Кочетовка от автоподъезда к с. Вяжля от автомобильной дороги "Тамбов - Ртищево - Саратов"</t>
  </si>
  <si>
    <t>63-000-000 ОП РЗ 63 К-00079</t>
  </si>
  <si>
    <t>805826</t>
  </si>
  <si>
    <t>автоподъезд к г. Балашову N 1 (восточный) от автомобильной дороги "Р-22 "Каспий" автомобильная дорога М-4 "Дон" - Тамбов - Волгоград - Астрахань, подъезд к г. Саратов"</t>
  </si>
  <si>
    <t>63-000-000 ОП РЗ 63 К-00138</t>
  </si>
  <si>
    <t>805418</t>
  </si>
  <si>
    <t>автоподъезд к г. Балашову N 2 (западный) от автомобильной дороги "Р-22 "Каспий" автомобильная дорога М-4 "Дон" - Тамбов - Волгоград - Астрахань, подъезд к г. Саратов"</t>
  </si>
  <si>
    <t>63-000-000 ОП РЗ 63 К-00139</t>
  </si>
  <si>
    <t>805646</t>
  </si>
  <si>
    <t>автоподъезд к с. Новая Ивановка - с. Симоновка от автомобильной дороги "Р-22 "Каспий" автомобильная дорога М-4 "Дон" - Тамбов - Волгоград - Астрахань, подъезд к г. Саратов"</t>
  </si>
  <si>
    <t>63-000-000 ОП РЗ 63 К-00372</t>
  </si>
  <si>
    <t>805424</t>
  </si>
  <si>
    <t>автоподъезд к с. Заветное - с. Богатое от автомобильной дороги "Р-228 "Сызрань - Саратов - Волгоград"</t>
  </si>
  <si>
    <t>63-000-000 ОП РЗ 63 К-00198</t>
  </si>
  <si>
    <t>805806</t>
  </si>
  <si>
    <t>автомобильная дорога "Рукополь - Сулак - Большой Кушум" (в пределах Ершовского района)</t>
  </si>
  <si>
    <t>63-000-000 ОП РЗ 63 К-00424</t>
  </si>
  <si>
    <t>805845</t>
  </si>
  <si>
    <t>автомобильная дорога "Лысые Горы - Яблочный" - автомобильная дорога "Р-22 "Каспий" автомобильная дорога М-4 "Дон" - Тамбов - Волгоград - Астрахань, подъезд к г. Саратов"</t>
  </si>
  <si>
    <t>63-000-000 ОП РЗ 63 К-00446</t>
  </si>
  <si>
    <t>805597</t>
  </si>
  <si>
    <t>автомобильная дорога "Широкий Карамыш - Большая Дмитриевка"</t>
  </si>
  <si>
    <t>63-000-000 ОП РЗ 63 К-00451</t>
  </si>
  <si>
    <t>805542</t>
  </si>
  <si>
    <t>автомобильная дорога "Петропавловка - Раздольное"</t>
  </si>
  <si>
    <t>63-000-000 ОП РЗ 63 К-00452</t>
  </si>
  <si>
    <t>805659</t>
  </si>
  <si>
    <t>автоподъезд к с. Олоновка - с. Бессоновка от автомобильной дороги "Новоузенск - Основной"</t>
  </si>
  <si>
    <t>63-000-000 ОП РЗ 63 К-00524</t>
  </si>
  <si>
    <t>805446</t>
  </si>
  <si>
    <t>обход с. Перелюб на участке км 0+000 - км 2+780</t>
  </si>
  <si>
    <t>63-000-000 ОП РЗ 63 К-00571</t>
  </si>
  <si>
    <t>805500</t>
  </si>
  <si>
    <t>автомобильная дорога "Перелюб - Иваниха"</t>
  </si>
  <si>
    <t>63-000-000 ОП РЗ 63 К-00578</t>
  </si>
  <si>
    <t>805673</t>
  </si>
  <si>
    <t>автомобильная дорога "Р-22 "Каспий" автомобильная дорога М-4 "Дон" - Тамбов - Волгоград - Астрахань, подъезд к г. Саратов" - с. Кувыка - автомобильная дорога "Тамбов - Ртищево - Саратов" (в пределах Татищевского района)</t>
  </si>
  <si>
    <t>63-000-000 ОП РЗ 63 К-00804</t>
  </si>
  <si>
    <t>805625</t>
  </si>
  <si>
    <t>автомобильная дорога "Красный Яр - Ленинское"</t>
  </si>
  <si>
    <t>63-000-000 ОП РЗ 63 К-00911</t>
  </si>
  <si>
    <t>805489</t>
  </si>
  <si>
    <t>автомобильная дорога "Екатериновка - Альшанка - Бакуры - Ивановка - Зеленовка (Пензенская область)" (в пределах района)</t>
  </si>
  <si>
    <t>63-000-000 ОП РЗ 63 К-00272</t>
  </si>
  <si>
    <t>805608</t>
  </si>
  <si>
    <t>автоподъезд к д. Хомяковка - с. Грачевка от автомобильной дороги "Р-158 "Нижний Новгород - Арзамас - Саранск - Исса - Пенза - Саратов" на участке км 0 + 000 - км 5 + 905</t>
  </si>
  <si>
    <t>63-000-000 ОП РЗ 63 К-00592</t>
  </si>
  <si>
    <t>805687</t>
  </si>
  <si>
    <t>автомобильная дорога "Аркадак - Алексеевка"</t>
  </si>
  <si>
    <t>63-000-000 ОП РЗ 63 К-00050</t>
  </si>
  <si>
    <t>805649</t>
  </si>
  <si>
    <t>автоподъезд к с. Рогаткино - с. Дубовка от автомобильной дороги "Р-228 "Сызрань - Саратов - Волгоград"</t>
  </si>
  <si>
    <t>63-000-000 ОП РЗ 63 К-00398</t>
  </si>
  <si>
    <t>805600</t>
  </si>
  <si>
    <t>автомобильная дорога "Маркс - Липовка - п. им. Тельмана"</t>
  </si>
  <si>
    <t>63-000-000 ОП РЗ 63 К-00483</t>
  </si>
  <si>
    <t>12+850</t>
  </si>
  <si>
    <t>17+850</t>
  </si>
  <si>
    <t>22+850</t>
  </si>
  <si>
    <t>автомобильная дорога "Шереметьевка - Урицкое - Широкий Карамыш - Большие Копены"</t>
  </si>
  <si>
    <t>63-000-000 ОП РЗ 63 К-00447</t>
  </si>
  <si>
    <t>35+300</t>
  </si>
  <si>
    <t>39+150</t>
  </si>
  <si>
    <t>41+150</t>
  </si>
  <si>
    <t>42+500</t>
  </si>
  <si>
    <t>45+500</t>
  </si>
  <si>
    <t>44+500</t>
  </si>
  <si>
    <t>53+350</t>
  </si>
  <si>
    <t>60+300</t>
  </si>
  <si>
    <t>805706</t>
  </si>
  <si>
    <t>автомобильная дорога "Ершов - Орлов Гай"</t>
  </si>
  <si>
    <t>63-000-000 ОП РЗ 63 К-00302</t>
  </si>
  <si>
    <t>805873</t>
  </si>
  <si>
    <t>автомобильная дорога "Пугачев - Перелюб" (в пределах Перелюбского района)</t>
  </si>
  <si>
    <t>63-000-000 ОП РЗ 63 К-00014</t>
  </si>
  <si>
    <t>108+630</t>
  </si>
  <si>
    <t>113+630</t>
  </si>
  <si>
    <t>103+630</t>
  </si>
  <si>
    <t>98+630</t>
  </si>
  <si>
    <t>805508</t>
  </si>
  <si>
    <t>автоподъезд к с. Елшанка - с. Поповка - с. Старая Лебежайка от автомобильной дороги "Р-228 "Сызрань - Саратов - Волгоград"</t>
  </si>
  <si>
    <t>63-000-000 ОП РЗ 63 К-00865</t>
  </si>
  <si>
    <t>3+330</t>
  </si>
  <si>
    <t>8+900</t>
  </si>
  <si>
    <t>9+920</t>
  </si>
  <si>
    <t>5+400</t>
  </si>
  <si>
    <t>11+670</t>
  </si>
  <si>
    <t>13+020</t>
  </si>
  <si>
    <t>14+930</t>
  </si>
  <si>
    <t>15+230</t>
  </si>
  <si>
    <t>14+410</t>
  </si>
  <si>
    <t>15+800</t>
  </si>
  <si>
    <t>17+540</t>
  </si>
  <si>
    <t>20+600</t>
  </si>
  <si>
    <t>22+140</t>
  </si>
  <si>
    <t>805556</t>
  </si>
  <si>
    <t>автомобильная дорога "Пугачев - Селезниха - Мавринка" на участке км 0+000 - км 33+750</t>
  </si>
  <si>
    <t>63-000-000 ОП РЗ 63 К-00632</t>
  </si>
  <si>
    <t>805704</t>
  </si>
  <si>
    <t>автоподъезд к с. Вязовка от автомобильной дороги "Тамбов - Ртищево - Саратов"</t>
  </si>
  <si>
    <t>63-000-000 ОП РЗ 63 К-00269</t>
  </si>
  <si>
    <t>805551</t>
  </si>
  <si>
    <t>автоподъезд к п. Модин от автомобильной дороги "А-298 автомобильная дорога Р-228 "Сызрань - Саратов - Волгоград" - Пристанное - Ершов - Озинки - граница с Республикой Казахстан"</t>
  </si>
  <si>
    <t>63-000-000 ОП РЗ 63 К-00539</t>
  </si>
  <si>
    <t>805459</t>
  </si>
  <si>
    <t>автомобильная дорога "Мокроус - Долина"</t>
  </si>
  <si>
    <t>63-000-000 ОП РЗ 63 К-00851</t>
  </si>
  <si>
    <t>автомобильная дорога "Пугачев - Перелюб" (в пределах Пугачевского района)</t>
  </si>
  <si>
    <t>автомобильная дорога "Степное - Мечетное - Любимово"</t>
  </si>
  <si>
    <t>63-000-000 ОП РЗ 63 К-00799</t>
  </si>
  <si>
    <t>автоподъезд к с. Калининское от автомобильной дороги "Маркс - Липовка - п. им. Тельмана"</t>
  </si>
  <si>
    <t>63-000-000 ОП РЗ 63 К-00485</t>
  </si>
  <si>
    <t>5+800</t>
  </si>
  <si>
    <t>805720</t>
  </si>
  <si>
    <t>автомобильная дорога "Бородаевка - Осиновский"</t>
  </si>
  <si>
    <t>63-000-000 ОП РЗ 63 К-00490</t>
  </si>
  <si>
    <t>1+436</t>
  </si>
  <si>
    <t>Автоподъезд к с. Раскатово от автомобильной дороги "Самара-Пугачев-Энгельс-Волгоград"</t>
  </si>
  <si>
    <t>63-000-000 ОП РЗ 63 К-00467</t>
  </si>
  <si>
    <t>16+000</t>
  </si>
  <si>
    <t>805830</t>
  </si>
  <si>
    <t>автоподъезд к с. Междуречье от автомобильной дороги "Вольск - Черкасское - Калмантай - граница Ульяновской области"</t>
  </si>
  <si>
    <t>63-000-000 ОП РЗ 63 К-00205</t>
  </si>
  <si>
    <t>автомобильная дорога "Базарный Карабулак - Вязовка - Садовка" (в пределах Базарно-Карабулакского района)</t>
  </si>
  <si>
    <t>63-000-000 ОП РЗ 63 К-00096</t>
  </si>
  <si>
    <t>805817</t>
  </si>
  <si>
    <t>автомобильная дорога "Саратов - Тепловка - Базарный Карабулак - Балтай" - Свободный - Бегуч (Пензенская область)" (в пределах Базарно-Карабулакского района)</t>
  </si>
  <si>
    <t>63-000-000 ОП РЗ 63 К-00085</t>
  </si>
  <si>
    <t>805469</t>
  </si>
  <si>
    <t>автомобильная дорога "Царевщина - Барнуковка" - автомобильная дорога "Куриловка - Елховка" (в пределах Балтайского района)</t>
  </si>
  <si>
    <t>63-000-000 ОП РЗ 63 К-00175</t>
  </si>
  <si>
    <t>805695</t>
  </si>
  <si>
    <t>автомобильная дорога "Балтай - Большие Озерки - Неверкино (Пензенская область)" (в пределах района)</t>
  </si>
  <si>
    <t>63-000-000 ОП РЗ 63 К-00181</t>
  </si>
  <si>
    <t>К-00092</t>
  </si>
  <si>
    <t>автомобильная дорога "Новые Бурасы - ст. Бурасы - Динамовский" (в пределах Новобурасского района)</t>
  </si>
  <si>
    <t>63-000-000 ОП РЗ 63 К-00504</t>
  </si>
  <si>
    <t>63-000-000 ОП РЗ 63 К-00003</t>
  </si>
  <si>
    <t>63-000-000 ОП РЗ 63 К-00009</t>
  </si>
  <si>
    <t>63-000-000 ОП РЗ 63 К-00757</t>
  </si>
  <si>
    <t>63-000-000 ОП РЗ 63 К-00758</t>
  </si>
  <si>
    <t>63-000-000 ОП РЗ 63 К-00771</t>
  </si>
  <si>
    <t>63-000-000 ОП РЗ 63 К-00772</t>
  </si>
  <si>
    <t>63-000-000 ОП РЗ 63 К-00776</t>
  </si>
  <si>
    <t>63-000-000 ОП РЗ 63 К-00778</t>
  </si>
  <si>
    <t>63-000-000 ОП РЗ 63 К-00779</t>
  </si>
  <si>
    <t>63-000-000 ОП РЗ 63 К-00781</t>
  </si>
  <si>
    <t>63-000-000 ОП РЗ 63 К-00783</t>
  </si>
  <si>
    <t>63-000-000 ОП РЗ 63 К-00883</t>
  </si>
  <si>
    <t>63-000-000 ОП РЗ 63 К-00884</t>
  </si>
  <si>
    <t>автоподъезд к г. Энгельсу от автомобильной дороги "А-298 автомобильная дорога Р-228 "Сызрань - Саратов - Волгоград" - Пристанное - Ершов - Озинки - граница с Республикой Казахстан"</t>
  </si>
  <si>
    <t>63-000-000 ОП РЗ 63 К-00886</t>
  </si>
  <si>
    <t>63-000-000 ОП РЗ 63Р-00004</t>
  </si>
  <si>
    <t>63-000-000 ОП РЗ 63 К-00666</t>
  </si>
  <si>
    <t>63-000-000 ОП РЗ 63 К-00885</t>
  </si>
  <si>
    <t>63-000-000 ОП РЗ 63 К-00876</t>
  </si>
  <si>
    <t>63-000-000 ОП РЗ 63 К-00896</t>
  </si>
  <si>
    <t>63-000-000 ОП РЗ 63 К-00761</t>
  </si>
  <si>
    <t>63-000-000 ОП РЗ 63 К-00881</t>
  </si>
  <si>
    <t>805461</t>
  </si>
  <si>
    <t>63-000-000 ОП РЗ 63 К-00880</t>
  </si>
  <si>
    <t>63-000-000 ОП РЗ 63Р-00005</t>
  </si>
  <si>
    <t>805810</t>
  </si>
  <si>
    <t>автоподъезд к с. Старые Бурасы от автомобильной дороги "Новые Бурасы - ж/д ст. Бурасы - Динамовский" (в пределах района)</t>
  </si>
  <si>
    <t>63-000-000 ОП РЗ 63 К-00093</t>
  </si>
  <si>
    <t>805582</t>
  </si>
  <si>
    <t>автомобильная дорога "Тепляковка - Малые Озерки - Старые Бурасы"</t>
  </si>
  <si>
    <t>63-000-000 ОП РЗ 63 К-00094</t>
  </si>
  <si>
    <t>805516</t>
  </si>
  <si>
    <t>автомобильная дорога "Голицыно - Сухой Карабулак" (в пределах района)</t>
  </si>
  <si>
    <t>63-000-000 ОП МЗ 63 Н-00026</t>
  </si>
  <si>
    <t>автоподъезд к с. Ягодная Поляна от автомобильной дороги "Р-158 "Нижний Новгород - Арзамас - Саранск - Исса - Пенза - Саратов"</t>
  </si>
  <si>
    <t xml:space="preserve">                                                      III. Резервные объекты в субъекте Российской Федерации, реализация мероприятий на которых возможна при условии увеличения финансирования национального проекта, либо за счет экономии, возникшей в результате снижения начальной (максимальной) цены контрактов при проведении конкурсных процедур.</t>
  </si>
  <si>
    <t>автомобильная дорога "Белый Ключ - автоподъезд к с. Пилюгино от автомобильной дороги "Балтай - Большие Озерки - Неверкино (Пензенская область)" (в пределах района)</t>
  </si>
  <si>
    <t>63-000-000 ОП МЗ 63 Н-00016</t>
  </si>
  <si>
    <t xml:space="preserve">   </t>
  </si>
  <si>
    <t>автомобильная дорога "Чкалово - Миусс - Чугунка - Спартак" на участке км 8+226 - км 18+250 (в пределах района)</t>
  </si>
  <si>
    <t>63-000-000 ОП МЗ 63 Н-00021</t>
  </si>
  <si>
    <t>805809</t>
  </si>
  <si>
    <t>автомобильная дорога "Чкалово - Миусс - Чугунка - Спартак" (в пределах района)</t>
  </si>
  <si>
    <t>63-000-000 ОП МЗ 63Н-00021</t>
  </si>
  <si>
    <t>автомобильная дорога "Калининск - Широкий Уступ - Екатериновка" (в пределах района)</t>
  </si>
  <si>
    <t>805482</t>
  </si>
  <si>
    <t>автомобильная дорога "с. Пады - ст. Пады"</t>
  </si>
  <si>
    <t>63-000-000 ОП РЗ 63 К-00156</t>
  </si>
  <si>
    <t>805751</t>
  </si>
  <si>
    <t>автомобильная дорога "Воскресенское - Березняки"</t>
  </si>
  <si>
    <t>63-000-000 ОП РЗ 63 К-00222</t>
  </si>
  <si>
    <t>805436</t>
  </si>
  <si>
    <t>автомобильная дорога "Рукополь - Раздольное" на участке км 7+050 - км 11+980</t>
  </si>
  <si>
    <t>63-000-000 ОП РЗ 63 К-00427</t>
  </si>
  <si>
    <t>805775</t>
  </si>
  <si>
    <t>автоподъезд к п. Новозаволжский от автомобильной дороги "Озинки - Перелюб"</t>
  </si>
  <si>
    <t>63-000-000 ОП РЗ 63 К-00543</t>
  </si>
  <si>
    <t>805637</t>
  </si>
  <si>
    <t>автоподъезд к г. Вольску от автомобильной дороги "Р-228 "Сызрань - Саратов - Волгоград"</t>
  </si>
  <si>
    <t>63-000-000 ОП РЗ 63 К-00189</t>
  </si>
  <si>
    <t>805638</t>
  </si>
  <si>
    <t>автоподъезд к с. Широкий Буерак от автомобильной дороги "Р-228 "Сызрань - Саратов - Волгоград"</t>
  </si>
  <si>
    <t>63-000-000 ОП РЗ 63 К-00190</t>
  </si>
  <si>
    <t>805423</t>
  </si>
  <si>
    <t>автоподъезд к г. Шиханы от автомобильной дороги "Р-228 "Сызрань - Саратов - Волгоград"</t>
  </si>
  <si>
    <t>63-000-000 ОП РЗ 63 К-00191</t>
  </si>
  <si>
    <t>автоподъезд к с. Терса от автомобильной дороги "Р-228 "Сызрань - Саратов - Волгоград"</t>
  </si>
  <si>
    <t>63-000-000 ОП РЗ 63 К-00192</t>
  </si>
  <si>
    <t>805831</t>
  </si>
  <si>
    <t>автомобильная дорога "Богатое - Рощино - Апалиха" (в пределах района)</t>
  </si>
  <si>
    <t>63-000-000 ОП РЗ 63 К-00200</t>
  </si>
  <si>
    <t>805698</t>
  </si>
  <si>
    <t>автомобильная дорога "Покровка - Белогорное"</t>
  </si>
  <si>
    <t>63-000-000 ОП РЗ 63 К-00203</t>
  </si>
  <si>
    <t>805591</t>
  </si>
  <si>
    <t>автомобильная дорога "Духовницкое - Липовка - Левенка"</t>
  </si>
  <si>
    <t>63-000-000 ОП РЗ 63 К-00259</t>
  </si>
  <si>
    <t>805641</t>
  </si>
  <si>
    <t>автоподъезд к р.п. Екатериновка от автомобильной дороги "Тамбов - Ртищево - Саратов"</t>
  </si>
  <si>
    <t>63-000-000 ОП РЗ 63 К-00268</t>
  </si>
  <si>
    <t>805594</t>
  </si>
  <si>
    <t>автоподъезд к с. Перекопное - с. Краснянка от автомобильной дороги "А-298 автомобильная дорога Р-228 "Сызрань - Саратов - Волгоград" - Пристанное - Ершов - Озинки - граница с Республикой Казахстан"</t>
  </si>
  <si>
    <t>63-000-000 ОП РЗ 63 К-00303</t>
  </si>
  <si>
    <t>805756</t>
  </si>
  <si>
    <t>автоподъезд к с. Моховое от автомобильной дороги "Ершов - Орлов Гай"</t>
  </si>
  <si>
    <t>63-000-000 ОП РЗ 63 К-00304</t>
  </si>
  <si>
    <t>805491</t>
  </si>
  <si>
    <t>автомобильная дорога "Ершов - Чапаевка"</t>
  </si>
  <si>
    <t>63-000-000 ОП РЗ 63 К-00319</t>
  </si>
  <si>
    <t>805757</t>
  </si>
  <si>
    <t>автоподъезд к с. Дмитриевка от автомобильной дороги "Ершов - Чапаевка"</t>
  </si>
  <si>
    <t>63-000-000 ОП РЗ 63 К-00320</t>
  </si>
  <si>
    <t>805836</t>
  </si>
  <si>
    <t>автомобильная дорога "Калининск - Александровка 3-я"</t>
  </si>
  <si>
    <t>63-000-000 ОП РЗ 63 К-00348</t>
  </si>
  <si>
    <t>805837</t>
  </si>
  <si>
    <t>автоподъезд к с. Ахтуба - с. Славновка от автомобильной дороги "Калининск - Александровка 3-я"</t>
  </si>
  <si>
    <t>63-000-000 ОП РЗ 63 К-00349</t>
  </si>
  <si>
    <t>805535</t>
  </si>
  <si>
    <t>автоподъезд к п. Ким от автомобильной дороги "Калининск - Александровка 3-я"</t>
  </si>
  <si>
    <t>63-000-000 ОП РЗ 63 К-00350</t>
  </si>
  <si>
    <t>805710</t>
  </si>
  <si>
    <t>автомобильная дорога "Калининск - Таловка - Орловка"</t>
  </si>
  <si>
    <t>63-000-000 ОП РЗ 63 К-00354</t>
  </si>
  <si>
    <t>805728</t>
  </si>
  <si>
    <t>автомобильная дорога "Ровное - Луговское"</t>
  </si>
  <si>
    <t>63-000-000 ОП РЗ 63 К-00674</t>
  </si>
  <si>
    <t>805451</t>
  </si>
  <si>
    <t>автоподъезд к с. Первомайское от автомобильной дороги "Ровное - Луговское"</t>
  </si>
  <si>
    <t>63-000-000 ОП РЗ 63 К-00679</t>
  </si>
  <si>
    <t>805452</t>
  </si>
  <si>
    <t>автомобильная дорога "Ровное - Луговское" - Старая Полтавка (Волгоградская область)" (в пределах района)</t>
  </si>
  <si>
    <t>63-000-000 ОП РЗ 63 К-00681</t>
  </si>
  <si>
    <t>805729</t>
  </si>
  <si>
    <t>автоподъезд к с. Бык от автомобильной дороги "Красноармейский - Мордовский Карай - Алексеевский - Памятка"</t>
  </si>
  <si>
    <t>63-000-000 ОП РЗ 63 К-00682</t>
  </si>
  <si>
    <t>805612</t>
  </si>
  <si>
    <t>автомобильная дорога "Бобылевка - Покровка (Тамбовская область)" (в пределах района)</t>
  </si>
  <si>
    <t>63-000-000 ОП РЗ 63 К-00685</t>
  </si>
  <si>
    <t>805867</t>
  </si>
  <si>
    <t>автомобильная дорога "Хвалынск - Ивановка - Алексеевка" - автомобильная дорога "Р-228 "Сызрань - Саратов - Волгоград"</t>
  </si>
  <si>
    <t>63-000-000 ОП РЗ 63 К-00868</t>
  </si>
  <si>
    <t>автомобильная дорога "Сосновка - Горячка" (в пределах района)</t>
  </si>
  <si>
    <t>автомобильная дорога "Белогорное - Акатная Маза" (в пределах района)</t>
  </si>
  <si>
    <t>63-000-000 ОП МЗ 63 Н-00019</t>
  </si>
  <si>
    <t>автомобильная дорога "Первомайское - Кривояр" на участке км 0+000 - км 6+057</t>
  </si>
  <si>
    <t>63-000-000 ОП МЗ 63 Н-00022</t>
  </si>
  <si>
    <t>805808</t>
  </si>
  <si>
    <t>автомобильная дорога "А-298 автомобильная дорога Р-228 "Сызрань - Саратов - Волгоград" - Пристанное - Ершов - Озинки - граница с Республикой Казахстан" - с. Первомайское - п. им. Тельмана (в пределах района)</t>
  </si>
  <si>
    <t>63-000-000 ОП МЗ 63 Н-00028</t>
  </si>
  <si>
    <t>805805</t>
  </si>
  <si>
    <t>автомобильная дорога "Белогорное - Апалиха" (в пределах района)</t>
  </si>
  <si>
    <t>63-000-000 ОП МЗ 63Н-00018</t>
  </si>
  <si>
    <t>805804</t>
  </si>
  <si>
    <t>63-000-000 ОП МЗ 63Н-00019</t>
  </si>
  <si>
    <t>805684</t>
  </si>
  <si>
    <t>автомобильная дорога "Тамбов - Ртищево - Саратов" (в пределах Аткарского района)</t>
  </si>
  <si>
    <t>автомобильная дорога "Тамбов - Ртищево - Саратов" (в пределах Екатериновского района)</t>
  </si>
  <si>
    <t>автомобильная дорога "Тамбов - Ртищево - Саратов" (в пределах Ртищевского района)</t>
  </si>
  <si>
    <t>автомобильная дорога "Урбах - Ждановка - Новоузенск - Александров Гай" (в пределах Советского  района)</t>
  </si>
  <si>
    <t>63-000-000 ОП РЗ 63 К-00028</t>
  </si>
  <si>
    <t>805813</t>
  </si>
  <si>
    <t>автомобильная дорога "Александров Гай - Варфоломеевка"</t>
  </si>
  <si>
    <t>63-000-000 ОП РЗ 63 К-00030</t>
  </si>
  <si>
    <t>805814</t>
  </si>
  <si>
    <t>автомобильная дорога "Александров Гай - Канавка"</t>
  </si>
  <si>
    <t>63-000-000 ОП РЗ 63 К-00032</t>
  </si>
  <si>
    <t>805473</t>
  </si>
  <si>
    <t>автоподъезд к п. Приузенский - п. Передовой от автомобильной дороги "Александров Гай - Казталовка (Казахстан)", на участке км 0 + 000 - км 17 + 560</t>
  </si>
  <si>
    <t>63-000-000 ОП РЗ 63 К-00034</t>
  </si>
  <si>
    <t>805474</t>
  </si>
  <si>
    <t>автомобильная дорога "Александров Гай - Казталовка (Казахстан)" в пределах района</t>
  </si>
  <si>
    <t>63-000-000 ОП РЗ 63 К-00035</t>
  </si>
  <si>
    <t>805606</t>
  </si>
  <si>
    <t>автоподъезд к п. Луков Кордон от автомобильной дороги "Урбах - Ждановка - Новоузенск - Александров Гай" (в пределах Новоузенского района)</t>
  </si>
  <si>
    <t>63-000-000 ОП РЗ 63 К-00040</t>
  </si>
  <si>
    <t>805743</t>
  </si>
  <si>
    <t>автоподъезд к х. Новостепное от автомобильной дороги "Новоузенск - Основной"</t>
  </si>
  <si>
    <t>63-000-000 ОП РЗ 63 К-00041</t>
  </si>
  <si>
    <t>805475</t>
  </si>
  <si>
    <t>обход с. Александров Гай</t>
  </si>
  <si>
    <t>63-000-000 ОП РЗ 63 К-00042</t>
  </si>
  <si>
    <t>805688</t>
  </si>
  <si>
    <t>автоподъезд к с. Львовка от автомобильной дороги "Аркадак - Алексеевка"</t>
  </si>
  <si>
    <t>63-000-000 ОП РЗ 63 К-00051</t>
  </si>
  <si>
    <t>805689</t>
  </si>
  <si>
    <t>автоподъезд к с. Росташи от автомобильной дороги "Аркадак - Соцземледельский - автомобильная дорога "Р-22 "Каспий" автомобильная дорога М-4 "Дон" - Тамбов - Волгоград - Астрахань, подъезд к г. Саратов"</t>
  </si>
  <si>
    <t>63-000-000 ОП РЗ 63 К-00053</t>
  </si>
  <si>
    <t>805414</t>
  </si>
  <si>
    <t>обход г. Аркадака от автодороги "Аркадак - Алексеевка" до автодороги "Балашов - Ртищево" на участке от автодороги "Аркадак - Алексеевка" до автодороги "Аркадак - Соцземледелие"</t>
  </si>
  <si>
    <t>63-000-000 ОП РЗ 63 К-00057</t>
  </si>
  <si>
    <t>автоподъезд к с. Языковка от автомобильной дороги "Тамбов - Ртищево - Саратов"</t>
  </si>
  <si>
    <t>63-000-000 ОП РЗ 63 К-00061</t>
  </si>
  <si>
    <t>805578</t>
  </si>
  <si>
    <t>автоподъезд к с. Малые Копены - с. Лопуховка от автомобильной дороги "Тамбов - Ртищево - Саратов"</t>
  </si>
  <si>
    <t>63-000-000 ОП РЗ 63 К-00063</t>
  </si>
  <si>
    <t>805690</t>
  </si>
  <si>
    <t>автоподъезд к с. Елизаветино - с. Вяжля от автомобильной дороги "Тамбов - Ртищево - Саратов"</t>
  </si>
  <si>
    <t>63-000-000 ОП РЗ 63 К-00066</t>
  </si>
  <si>
    <t>805815</t>
  </si>
  <si>
    <t>автоподъезд к с. Озерное от автомобильной дороги "Тамбов - Ртищево - Саратов"</t>
  </si>
  <si>
    <t>63-000-000 ОП РЗ 63 К-00067</t>
  </si>
  <si>
    <t>805816</t>
  </si>
  <si>
    <t>автоподъезд к с. Петрово от автомобильной дороги "Аткарск - Песчанка" - автомобильная дорога "Р-158 "Нижний Новгород - Арзамас - Саранск - Исса - Пенза - Саратов"</t>
  </si>
  <si>
    <t>63-000-000 ОП РЗ 63 К-00071</t>
  </si>
  <si>
    <t>805579</t>
  </si>
  <si>
    <t>автоподъезд к п. Тургенево от автомобильной дороги "Аткарск - Умет"</t>
  </si>
  <si>
    <t>63-000-000 ОП РЗ 63 К-00077</t>
  </si>
  <si>
    <t>805523</t>
  </si>
  <si>
    <t>автоподъезд к с. Приречное от автоподъезда к с. Озерное от автомобильной дороги "Тамбов - Ртищево - Саратов"</t>
  </si>
  <si>
    <t>63-000-000 ОП РЗ 63 К-00081</t>
  </si>
  <si>
    <t>автоподъезд к с. Большая Гусиха - с. Белый Ключ от автомобильной дороги "Саратов - Тепловка - Базарный Карабулак - Балтай" - Свободный - Бегуч (Пензенская область)"</t>
  </si>
  <si>
    <t>63-000-000 ОП РЗ 63 К-00086</t>
  </si>
  <si>
    <t>805581</t>
  </si>
  <si>
    <t>автомобильная дорога "Липовка - Ханеневка 1-я - Большая Чечуйка - Марьино", на участке км 0 + 000 - км 15 + 560</t>
  </si>
  <si>
    <t>63-000-000 ОП РЗ 63 К-00087</t>
  </si>
  <si>
    <t>805470</t>
  </si>
  <si>
    <t>автоподъезд к с. Большая Чечуйка от автомобильной дороги "Новые Бурасы - ж/д ст. Бурасы - Динамовский" (в пределах района)</t>
  </si>
  <si>
    <t>63-000-000 ОП РЗ 63 К-00092</t>
  </si>
  <si>
    <t>автоподъезд к с. Большая Чечуйка от автомобильной дороги "Новые Бурасы - ст. Бурасы - Динамовский" (в пределах района)</t>
  </si>
  <si>
    <t>автоподъезд к с. Старые Бурасы от автомобильной дороги "Новые Бурасы - ст. Бурасы - Динамовский" (в пределах района)</t>
  </si>
  <si>
    <t>805744</t>
  </si>
  <si>
    <t>северный обход с. Старые Бурасы</t>
  </si>
  <si>
    <t>63-000-000 ОП РЗ 63 К-00095</t>
  </si>
  <si>
    <t>805741</t>
  </si>
  <si>
    <t>автомобильная дорога "Базарный Карабулак - Вязовка - Садовка" (в пределах Вольского района)</t>
  </si>
  <si>
    <t>805631</t>
  </si>
  <si>
    <t>автомобильная дорога "Старая Жуковка - Максимовка - Ключи"</t>
  </si>
  <si>
    <t>63-000-000 ОП РЗ 63 К-00097</t>
  </si>
  <si>
    <t>805819</t>
  </si>
  <si>
    <t>автомобильная дорога "Ключи - Сухой Карабулак"</t>
  </si>
  <si>
    <t>63-000-000 ОП РЗ 63 К-00098</t>
  </si>
  <si>
    <t>805820</t>
  </si>
  <si>
    <t>автоподъезд к с. Сухой Карабулак от автомобильной дороги "Старая Жуковка - Максимовка - Ключи"</t>
  </si>
  <si>
    <t>63-000-000 ОП РЗ 63 К-00099</t>
  </si>
  <si>
    <t>805822</t>
  </si>
  <si>
    <t>автоподъезд к с. Еланка от автомобильной дороги "Самара - Пугачев - Энгельс - Волгоград"</t>
  </si>
  <si>
    <t>63-000-000 ОП РЗ 63 К-00106</t>
  </si>
  <si>
    <t>805823</t>
  </si>
  <si>
    <t>автоподъезд к с. Маянга от автомобильной дороги "Самара - Пугачев - Энгельс - Волгоград"</t>
  </si>
  <si>
    <t>63-000-000 ОП РЗ 63 К-00107</t>
  </si>
  <si>
    <t>805632</t>
  </si>
  <si>
    <t>автоподъезд к с. Быков Отрог от автомобильной дороги "Самара - Пугачев - Энгельс - Волгоград"</t>
  </si>
  <si>
    <t>63-000-000 ОП РЗ 63 К-00109</t>
  </si>
  <si>
    <t>805824</t>
  </si>
  <si>
    <t>автоподъезд к с. Кормежка от автомобильной дороги "Самара - Пугачев - Энгельс - Волгоград"</t>
  </si>
  <si>
    <t>63-000-000 ОП РЗ 63 К-00110</t>
  </si>
  <si>
    <t>805478</t>
  </si>
  <si>
    <t>автоподъезд к с. Сухой Отрог от автомобильной дороги "Самара - Пугачев - Энгельс - Волгоград"</t>
  </si>
  <si>
    <t>63-000-000 ОП РЗ 63 К-00112</t>
  </si>
  <si>
    <t>805479</t>
  </si>
  <si>
    <t>автоподъезд к с. Натальино от автомобильной дороги "Балаково - Духовницкое"</t>
  </si>
  <si>
    <t>63-000-000 ОП РЗ 63 К-00115</t>
  </si>
  <si>
    <t>805416</t>
  </si>
  <si>
    <t>автомобильная дорога "Балаково - Подсосенки"</t>
  </si>
  <si>
    <t>63-000-000 ОП РЗ 63 К-00121</t>
  </si>
  <si>
    <t>805417</t>
  </si>
  <si>
    <t>автомобильная дорога "Ивановка - Красный Яр"</t>
  </si>
  <si>
    <t>63-000-000 ОП РЗ 63 К-00122</t>
  </si>
  <si>
    <t>805691</t>
  </si>
  <si>
    <t>автоподъезд к с. Новополеводино от автоподъезда к с. Никольское - Казаково от автомобильной дороги "Самара - Пугачев - Энгельс - Волгоград"</t>
  </si>
  <si>
    <t>63-000-000 ОП РЗ 63 К-00126</t>
  </si>
  <si>
    <t>805583</t>
  </si>
  <si>
    <t>автоподъезд к с. Пылковка от автоподъезда к с. Большой Кушум от автоподъезда к с. Никольское - Казаково</t>
  </si>
  <si>
    <t>63-000-000 ОП РЗ 63 К-00128</t>
  </si>
  <si>
    <t>805745</t>
  </si>
  <si>
    <t>автоподъезд к с. Наумовка от автоподъезда к с. Большой Кушум от автоподъезда к с. Никольское - Казаково</t>
  </si>
  <si>
    <t>63-000-000 ОП РЗ 63 К-00129</t>
  </si>
  <si>
    <t>805811</t>
  </si>
  <si>
    <t>мостовой переход через судоходный канал в г. Балаково Саратовской области</t>
  </si>
  <si>
    <t>63-000-000 ОП РЗ 63 К-00133</t>
  </si>
  <si>
    <t>805825</t>
  </si>
  <si>
    <t>автомобильная дорога "Балашов - Ивановка"</t>
  </si>
  <si>
    <t>63-000-000 ОП РЗ 63 К-00135</t>
  </si>
  <si>
    <t>805633</t>
  </si>
  <si>
    <t>автоподъезд к п. Первомайский от автомобильной дороги "Балашов - Ивановка"</t>
  </si>
  <si>
    <t>63-000-000 ОП РЗ 63 К-00136</t>
  </si>
  <si>
    <t>805525</t>
  </si>
  <si>
    <t>примыкание на обходе г. Балашова</t>
  </si>
  <si>
    <t>63-000-000 ОП РЗ 63 К-00140</t>
  </si>
  <si>
    <t>805634</t>
  </si>
  <si>
    <t>автоподъезд к с. Лесное от автомобильной дороги "Р-22 "Каспий" автомобильная дорога М-4 "Дон" - Тамбов - Волгоград - Астрахань, подъезд к г. Саратов"</t>
  </si>
  <si>
    <t>63-000-000 ОП РЗ 63 К-00142</t>
  </si>
  <si>
    <t>805584</t>
  </si>
  <si>
    <t>автоподъезд к с. Тростянка от автомобильной дороги "Р-22 "Каспий" автомобильная дорога М-4 "Дон" - Тамбов - Волгоград - Астрахань, подъезд к г. Саратов"</t>
  </si>
  <si>
    <t>63-000-000 ОП РЗ 63 К-00143</t>
  </si>
  <si>
    <t>805419</t>
  </si>
  <si>
    <t>автоподъезд к с. Малая Семеновка от автомобильной дороги "Р-22 "Каспий" автомобильная дорога М-4 "Дон" - Тамбов - Волгоград - Астрахань, подъезд к г. Саратов"</t>
  </si>
  <si>
    <t>63-000-000 ОП РЗ 63 К-00145</t>
  </si>
  <si>
    <t>805526</t>
  </si>
  <si>
    <t>автоподъезд к с. Гусевка от автомобильной дороги "Аркадак - Соцземледельский - автомобильная дорога "Р-22 "Каспий" автомобильная дорога М-4 "Дон" - Тамбов - Волгоград - Астрахань, подъезд к г. Саратов"</t>
  </si>
  <si>
    <t>63-000-000 ОП РЗ 63 К-00146</t>
  </si>
  <si>
    <t>805480</t>
  </si>
  <si>
    <t>автоподъезд к с. Родничок - с. Терновка - с. Сухая Елань - от автомобильной дороги "Р-22 "Каспий" автомобильная дорога М-4 "Дон" - Тамбов - Волгоград - Астрахань, подъезд к г. Саратов" на участке км 0 + 000 - км 16 + 450</t>
  </si>
  <si>
    <t>63-000-000 ОП РЗ 63 К-00150</t>
  </si>
  <si>
    <t>805827</t>
  </si>
  <si>
    <t>автоподъезд к п. Соцземледельский от автомобильной дороги "Аркадак - Соцземледельский - автомобильная дорога "Р-22 "Каспий" автомобильная дорога М-4 "Дон" - Тамбов - Волгоград - Астрахань, подъезд к г. Саратов"</t>
  </si>
  <si>
    <t>63-000-000 ОП РЗ 63 К-00151</t>
  </si>
  <si>
    <t>805481</t>
  </si>
  <si>
    <t>автоподъезд к с. Хоперское от автомобильной дороги "Балашов - Ртищево"</t>
  </si>
  <si>
    <t>63-000-000 ОП РЗ 63 К-00153</t>
  </si>
  <si>
    <t>805420</t>
  </si>
  <si>
    <t>автоподъезд к п. Октябрьский от автомобильной дороги "Балашов - Романовка"</t>
  </si>
  <si>
    <t>63-000-000 ОП РЗ 63 К-00158</t>
  </si>
  <si>
    <t>805694</t>
  </si>
  <si>
    <t>автоподъезд к р.п. Пинеровка от автомобильной дороги "Балашов - Романовка"</t>
  </si>
  <si>
    <t>63-000-000 ОП РЗ 63 К-00159</t>
  </si>
  <si>
    <t>805746</t>
  </si>
  <si>
    <t>автоподъезд к с. Репное от автомобильной дороги "Балашов - Романовка"</t>
  </si>
  <si>
    <t>63-000-000 ОП РЗ 63 К-00160</t>
  </si>
  <si>
    <t>805421</t>
  </si>
  <si>
    <t>автоподъезд к поселку Железнодорожников</t>
  </si>
  <si>
    <t>63-000-000 ОП РЗ 63 К-00161</t>
  </si>
  <si>
    <t>805483</t>
  </si>
  <si>
    <t>автоподъезд к с. Старое Сарайкино - с. Барнуковка от автомобильной дороги "Саратов - Тепловка - Базарный Карабулак - Балтай"</t>
  </si>
  <si>
    <t>63-000-000 ОП РЗ 63 К-00171</t>
  </si>
  <si>
    <t>805635</t>
  </si>
  <si>
    <t>автоподъезд к с. Царевщина - с. Донгуз от автомобильной дороги "Саратов - Тепловка - Базарный Карабулак - Балтай"</t>
  </si>
  <si>
    <t>63-000-000 ОП РЗ 63 К-00172</t>
  </si>
  <si>
    <t>805484</t>
  </si>
  <si>
    <t>автоподъезд к с. Сосновка от автомобильной дороги "Царевщина - Барнуковка" - автомобильная дорога "Куриловка - Елховка"</t>
  </si>
  <si>
    <t>63-000-000 ОП РЗ 63 К-00174</t>
  </si>
  <si>
    <t>автомобильная дорога "Царевщина - Барнуковка" - автомобильная дорога "Куриловка - Елховка" (в пределах района)</t>
  </si>
  <si>
    <t>805828</t>
  </si>
  <si>
    <t>автомобильная дорога "Барнуковка - ст. Барнуковка"</t>
  </si>
  <si>
    <t>63-000-000 ОП РЗ 63 К-00176</t>
  </si>
  <si>
    <t>805422</t>
  </si>
  <si>
    <t>автомобильная дорога "Балтай - Малая Караваевка"</t>
  </si>
  <si>
    <t>63-000-000 ОП РЗ 63 К-00177</t>
  </si>
  <si>
    <t>805485</t>
  </si>
  <si>
    <t>автомобильная дорога "Журавлиха - Козловка"</t>
  </si>
  <si>
    <t>63-000-000 ОП РЗ 63 К-00178</t>
  </si>
  <si>
    <t>805636</t>
  </si>
  <si>
    <t>автомобильная дорога "Пилюгино - Красное Поле"</t>
  </si>
  <si>
    <t>63-000-000 ОП РЗ 63 К-00179</t>
  </si>
  <si>
    <t>805829</t>
  </si>
  <si>
    <t>автомобильная дорога "Сосновка - Новая Лопастейка"</t>
  </si>
  <si>
    <t>63-000-000 ОП РЗ 63 К-00180</t>
  </si>
  <si>
    <t>805747</t>
  </si>
  <si>
    <t>автоподъезд к с. Пилюгино от автомобильной дороги "Балтай - Большие Озерки - Неверкино (Пензенская область)"</t>
  </si>
  <si>
    <t>63-000-000 ОП РЗ 63 К-00182</t>
  </si>
  <si>
    <t>805527</t>
  </si>
  <si>
    <t>автоподъезд к с. Всеволодчино от автомобильной дороги "Балтай - Большие Озерки - Неверкино (Пензенская область)"</t>
  </si>
  <si>
    <t>63-000-000 ОП РЗ 63 К-00183</t>
  </si>
  <si>
    <t>Примечания</t>
  </si>
  <si>
    <t xml:space="preserve"> I. Автомобильные дороги местного значения (улично-дорожная сеть г. Энгельса)</t>
  </si>
  <si>
    <t>Автомобильная дорога от ул. Колотилова до автомобильной дороги "Самара-Пугачев-Энгельс-Волгоград"</t>
  </si>
  <si>
    <t>Строительство</t>
  </si>
  <si>
    <t xml:space="preserve">Автомобильная дорога по просп. Строителей </t>
  </si>
  <si>
    <t>Дом № 62а</t>
  </si>
  <si>
    <t>Автомобильная дорога по ул. Промышленная</t>
  </si>
  <si>
    <t>736567</t>
  </si>
  <si>
    <t>Автомобильная дорога по ул. Маяковского</t>
  </si>
  <si>
    <t>Дом № 132</t>
  </si>
  <si>
    <t>737494</t>
  </si>
  <si>
    <t>Автомобильная дорога по ул. Полиграфическая</t>
  </si>
  <si>
    <t>743012</t>
  </si>
  <si>
    <t>Автомобильная дорога по ул. Веселая</t>
  </si>
  <si>
    <t>Автомобильная дорога по ул. Лесокомбинатская</t>
  </si>
  <si>
    <t>ул. Лесозаводская</t>
  </si>
  <si>
    <t>просп. Волжский</t>
  </si>
  <si>
    <t>Автомобильная дорога по ул. Лесозаводская 
(нижняя дорога)</t>
  </si>
  <si>
    <t>749919</t>
  </si>
  <si>
    <t>Автомобильная дорога по ул. Лесозаводская</t>
  </si>
  <si>
    <t>Автомобильная дорога по просп. Химиков</t>
  </si>
  <si>
    <t>Автомобильная дорога по ул. Нестерова</t>
  </si>
  <si>
    <t xml:space="preserve">737516
</t>
  </si>
  <si>
    <t>Автомобильная дорога по ул. Тургенева</t>
  </si>
  <si>
    <t>Автомобильная дорога по ул. Овражная</t>
  </si>
  <si>
    <t>Автомобильная дорога по ул. Персидского</t>
  </si>
  <si>
    <t>Реконструкция</t>
  </si>
  <si>
    <t>Автомобильная дорога по ул. Совхозная</t>
  </si>
  <si>
    <t>Автомобильная дорога по ул. Волоха</t>
  </si>
  <si>
    <t>ул. Петровская</t>
  </si>
  <si>
    <t>Автомобильная дорога по пл. Свободы</t>
  </si>
  <si>
    <t>Автомобильная дорога по ул. Дубовская</t>
  </si>
  <si>
    <t>Автомобильная дорога по ул. Серафимовича</t>
  </si>
  <si>
    <t>Автмообильная дорога по ул. Пристанская</t>
  </si>
  <si>
    <t>Автомобильная дорога по ул. Ломоносова</t>
  </si>
  <si>
    <t>Автомобильная дорога по ул. Менделеева</t>
  </si>
  <si>
    <t>Автомобильная дорога по ул. М. Расковой</t>
  </si>
  <si>
    <t>Автомобильная дорога по ул. Колотилова</t>
  </si>
  <si>
    <t>Автомобильная дорога по Восточному переулку</t>
  </si>
  <si>
    <t>Автомобильная дорога по ул. Смоленская</t>
  </si>
  <si>
    <t>Автомобильная дорога по ул. 2-я Ленинградская</t>
  </si>
  <si>
    <t>Автомобильная дорога по ул. 148-й Черниговской дивизии</t>
  </si>
  <si>
    <t>кп</t>
  </si>
  <si>
    <t>Автомобильная дорога по просп. Ф. Энгельса</t>
  </si>
  <si>
    <t xml:space="preserve">Автомобильная дорога по ул. Гагарина </t>
  </si>
  <si>
    <t>Автомобильная дорога по ул. Тельмана</t>
  </si>
  <si>
    <t>Автомобильная дорога по ул. Полтавская</t>
  </si>
  <si>
    <t>736234</t>
  </si>
  <si>
    <t>Автомобильная дорога  по ул. Космонавтов</t>
  </si>
  <si>
    <t>Дом № 4а</t>
  </si>
  <si>
    <t>742799</t>
  </si>
  <si>
    <t>Автомобильная дорога по ул. Советская</t>
  </si>
  <si>
    <t>Автомобильная дорога по ул. Трудовая</t>
  </si>
  <si>
    <t>739590</t>
  </si>
  <si>
    <t>Автомобильная дорога  по ул. М. Горького</t>
  </si>
  <si>
    <t>735045</t>
  </si>
  <si>
    <t>Автомобильная дорога по ул. Тихая</t>
  </si>
  <si>
    <t>742439</t>
  </si>
  <si>
    <t xml:space="preserve">Автомобильная дорога по ул. Рабочая </t>
  </si>
  <si>
    <t>742086</t>
  </si>
  <si>
    <t>Автомобильная дорога по ул. Телеграфная</t>
  </si>
  <si>
    <t>741624</t>
  </si>
  <si>
    <t>Автомобильная дорога по ул. М. Василевского</t>
  </si>
  <si>
    <t>742763</t>
  </si>
  <si>
    <t>Автомобильная дорога по ул. Студенческая</t>
  </si>
  <si>
    <t>Дом № 143</t>
  </si>
  <si>
    <t>742121</t>
  </si>
  <si>
    <t>Автомобильная дорога  по ул. Вокзальная</t>
  </si>
  <si>
    <t>741622</t>
  </si>
  <si>
    <t xml:space="preserve">Автомобильная дорога по просп. Волжский </t>
  </si>
  <si>
    <t>740063</t>
  </si>
  <si>
    <t xml:space="preserve">Автомобильная дорога по ул. Степная </t>
  </si>
  <si>
    <t>ул. Энгельс-1 в микрорайоне Летный городок</t>
  </si>
  <si>
    <t>ул. Енисейская (р.п. Приволжский)</t>
  </si>
  <si>
    <t>1-ий Геологический проезд</t>
  </si>
  <si>
    <t>ул. Будочная</t>
  </si>
  <si>
    <t>ул. Центральная (р.п. Приволжский)</t>
  </si>
  <si>
    <t>ул. Степана Разина   (р.п. Приволжский)</t>
  </si>
  <si>
    <t>ул, Комсомольская</t>
  </si>
  <si>
    <t>ул, Кожевенная</t>
  </si>
  <si>
    <t>ул, Российская</t>
  </si>
  <si>
    <t>5-й Студенческий пр-д</t>
  </si>
  <si>
    <t>ул, Льва Кассиля</t>
  </si>
  <si>
    <t>ул, Краснознаменная</t>
  </si>
  <si>
    <t>ул. Украинская   (р.п. Приволжский)</t>
  </si>
  <si>
    <t>ул, Колхозная (с.Квасниковка)</t>
  </si>
  <si>
    <t>ИТОГО по Энгельсской агломерации</t>
  </si>
  <si>
    <t xml:space="preserve">Наименование автомобильной дороги (улиц) </t>
  </si>
  <si>
    <t>Участок, работающий в режиме перегрузки</t>
  </si>
  <si>
    <t>Мероприятия по устранению режима перегрузки</t>
  </si>
  <si>
    <t>Протяженность</t>
  </si>
  <si>
    <t>Сроки проведения, год</t>
  </si>
  <si>
    <t>Стоимость мероприятий</t>
  </si>
  <si>
    <t>Автомобильные дороги федерального значения</t>
  </si>
  <si>
    <t>ИТОГО</t>
  </si>
  <si>
    <t>Автомобильные дороги регионального и межмуниципального значения</t>
  </si>
  <si>
    <t>км 0+000</t>
  </si>
  <si>
    <t>км 3+133</t>
  </si>
  <si>
    <t>км0+000</t>
  </si>
  <si>
    <t>км 6+320</t>
  </si>
  <si>
    <t>Автомобильные дороги местного значения (улицы)</t>
  </si>
  <si>
    <t>Ул. Мясницкая (от ул. Б. Горной до ул.  Крайней)</t>
  </si>
  <si>
    <t>Ул. Московская (от ул. им. Горького А.М. до Набережной Космонавтов)</t>
  </si>
  <si>
    <t>ОБЩИЙ ИТОГ:</t>
  </si>
  <si>
    <t>Таблица № 4. Перечень аварийно-опасных участков (МКДТП) на дорожной сети за 2017 г. и мероприятия, запланированные для их ликвидации в 2019-2024 гг. 
(согласованный с подразделением Госавтоинспекции территориальных органов МВД России по Саратовской области)»</t>
  </si>
  <si>
    <t>В том числе с недостатками транспортно-эксплуатационного состояния УДС</t>
  </si>
  <si>
    <t>Погибло</t>
  </si>
  <si>
    <t>Ранено</t>
  </si>
  <si>
    <t>Вид</t>
  </si>
  <si>
    <t>Количество</t>
  </si>
  <si>
    <t>6+000</t>
  </si>
  <si>
    <t>7+000</t>
  </si>
  <si>
    <t>Выезд на полосу встречного движения</t>
  </si>
  <si>
    <t>Автоподъезд к г. Энгельс от автомобильной дороги "А-298 автомобильная дорога Р-228 "Сызрань - Саратов - Волгоград" - Пристанное - Ершов - Озинки - граница с Республикой Казахстан"</t>
  </si>
  <si>
    <t>Автомобильные дороги местного значения г. Энгельс</t>
  </si>
  <si>
    <t>д. 53</t>
  </si>
  <si>
    <t>д. 55</t>
  </si>
  <si>
    <t xml:space="preserve">Переход пешеходами проезжей части вне пешеходного перехода </t>
  </si>
  <si>
    <t>д. 78</t>
  </si>
  <si>
    <t>Переход пешеходами проезжей части вне пешеходного перехода</t>
  </si>
  <si>
    <t>д. 37</t>
  </si>
  <si>
    <t>Переход пешеходами проезжей части вне пешеходного перехода, несоблюдение правил проезда перекрестка</t>
  </si>
  <si>
    <t>д. 48</t>
  </si>
  <si>
    <t>ул. Тельмана</t>
  </si>
  <si>
    <t>Пересечение с ул. Красноармейская</t>
  </si>
  <si>
    <t>Несоблюдение правил проезда перекрестка</t>
  </si>
  <si>
    <t>Пересечение с ул. Маяковского</t>
  </si>
  <si>
    <t>Пересечение с ул. Волоха</t>
  </si>
  <si>
    <t>ИТОГО:</t>
  </si>
  <si>
    <t>Автомобильные дороги местного значения г. Саратов</t>
  </si>
  <si>
    <t>ул. Московская</t>
  </si>
  <si>
    <t>1 - Установка 2-х комплексов фотовидеофиксации нарушений требований сигналов светофора (проезд на красный)</t>
  </si>
  <si>
    <t>д.85</t>
  </si>
  <si>
    <t>д.87</t>
  </si>
  <si>
    <t>1 - Дооборудование (реконструкция) светофорного объекта (регулирование проезда и движения пешеходов по всему перекрестку)</t>
  </si>
  <si>
    <t>ул. Усть-Курдюмская</t>
  </si>
  <si>
    <t>д.9</t>
  </si>
  <si>
    <t xml:space="preserve">ул. Б. Горная </t>
  </si>
  <si>
    <t>д.180</t>
  </si>
  <si>
    <t>д.182</t>
  </si>
  <si>
    <t>2 - Реконструкция светофорного объекта</t>
  </si>
  <si>
    <t>ул. Мясницкая</t>
  </si>
  <si>
    <t>ул. Первомайская</t>
  </si>
  <si>
    <t>д.61</t>
  </si>
  <si>
    <t>д.65</t>
  </si>
  <si>
    <t>Нарушение правил проезда пешеходного перехода;
Несоблюдение очередности проезда.</t>
  </si>
  <si>
    <t>1 - Ликвидация части заездного кармана на ул. Первомайская у д. 63 (на 10,0м) для обеспечения видимости и нормативного расстояния до пешеходного перехода</t>
  </si>
  <si>
    <t>д.171</t>
  </si>
  <si>
    <t>д.173</t>
  </si>
  <si>
    <t>Несоблюдение очередности проезда;
Нарушение требований сигналов светофора. Несоответствие скорости дорожным условиям</t>
  </si>
  <si>
    <t>ул. им.Н.Г.Чернышевского</t>
  </si>
  <si>
    <t>д.219</t>
  </si>
  <si>
    <t xml:space="preserve">д.221 </t>
  </si>
  <si>
    <t xml:space="preserve">ул. им.Н.Г.Чернышевского </t>
  </si>
  <si>
    <t>ул. Крымская</t>
  </si>
  <si>
    <t>д.11</t>
  </si>
  <si>
    <t>1 - Проведение локально-реконструктивных мероприятий по устройству (восстановлению) бортового камня со стороны д. 16/24, а также ликвидации части парковочного кармана, расположенного в зоне остановочного пункта "Поликлиника" (на участке не менее 15м от посадочной площадки)</t>
  </si>
  <si>
    <t>Ново-Астраханское ш.</t>
  </si>
  <si>
    <t>д.77</t>
  </si>
  <si>
    <t>д.79</t>
  </si>
  <si>
    <t xml:space="preserve">Несоответствие скорости дорожным условиям  Несоблюдение очередности проезда Несоблюдение дистанции    Нарушение правил проезда пешеходного перехода  </t>
  </si>
  <si>
    <t>д.64А</t>
  </si>
  <si>
    <t>3 - Нанесение шумовых полос на Ново-Астраханском ш. перед перекрестком при движении от ул. Маркина</t>
  </si>
  <si>
    <t>д.12</t>
  </si>
  <si>
    <t>д.46</t>
  </si>
  <si>
    <t>1 - Реконструкция светофорного объекта с корректировкой режима его работы</t>
  </si>
  <si>
    <t>д.2</t>
  </si>
  <si>
    <t>1 - Реконструкция светофорного объекта с дооборудованием и корректировкой режима его работы</t>
  </si>
  <si>
    <t xml:space="preserve">пр-т Энтузиастов </t>
  </si>
  <si>
    <t>д.20</t>
  </si>
  <si>
    <t>д.22</t>
  </si>
  <si>
    <t>пр-т Энтузиастов</t>
  </si>
  <si>
    <t>д.54</t>
  </si>
  <si>
    <t>3 - Дооборудование светофорного объекта с учетом переразметки пр. части пр-та Энтузиастов перед перекрестком при движении от ул. Пономарева и установка белых светофорных экранов</t>
  </si>
  <si>
    <t xml:space="preserve"> д. 29</t>
  </si>
  <si>
    <t>1 - Строительство светофорного объекта на перекрестке</t>
  </si>
  <si>
    <t>3 - Проведение локально-реконструктивных работ в существующих парковочных карманах вдоль д. 29 по пр-ту Энтузиастов для отделения бортовым камнем матч освещения от проезжей части и мест парковки от тротуара</t>
  </si>
  <si>
    <t>д.32</t>
  </si>
  <si>
    <t>д. 91</t>
  </si>
  <si>
    <t>Несоответствие скорости условиям 
 Нарушение правил проезда пешеходного перехода       Нарушение правил перестроения очередности проезда</t>
  </si>
  <si>
    <t>1 - Проведение локально-реконструктивных работ по обустройству (восстановлению) посадочной площадки остановки трамвая, расположенной со стороны проезжей части, с нанесением соответствующей вертикальной дорожной разметки, обустройству пешеходного перехода в уровне посадочной площадки через проезжую часть Огородной ул., а также устройству мощения через трамвайные пути на ширину пешеходного перехода</t>
  </si>
  <si>
    <t>2 - Перенос остановочного пункта трамвая, расположенного со стороны д. 90/100, назад по ходу движения до зоны пешеходного перехода</t>
  </si>
  <si>
    <t xml:space="preserve">Ново-Астраханское ш. </t>
  </si>
  <si>
    <t>д.57</t>
  </si>
  <si>
    <t>д.59</t>
  </si>
  <si>
    <t>Несоответствие скорости дорожным условиям;
Нарушение правил проезда пешеходного перехода;
Несоблюдение очередности проезда.</t>
  </si>
  <si>
    <t>1 - Реконструкция светофорного объекта с учетом наличия выезда с 5-го Нагорного пр-да</t>
  </si>
  <si>
    <t>пр-т им.50 лет Октября</t>
  </si>
  <si>
    <t>д.17</t>
  </si>
  <si>
    <t>д19</t>
  </si>
  <si>
    <t xml:space="preserve">пр-т им.50 лет Октября </t>
  </si>
  <si>
    <t>1 - Реконструкция светофорного объекта с регулированием выезда с Волгоградской ул. и размещением оборудования в соответствии с нормативными требованиями, в т.ч. для сокращения зоны перекрестка</t>
  </si>
  <si>
    <t>д.1</t>
  </si>
  <si>
    <t>1 - Исключение левого поворота с Украинской ул. на пр-т им.50 лет Октября (установка дорожного знака 4.1.2)</t>
  </si>
  <si>
    <t xml:space="preserve">ул. Астраханская </t>
  </si>
  <si>
    <t>д.103</t>
  </si>
  <si>
    <t>2 - Проведение локально-реконструктивных мероприятий по ликвидации части парковочных карманов, расположенных у д. 103 и д. 138 для обеспечения видимости, отделения мачты освещения от проезжей части и беспрепятственного движения маршрутного транспорта в зоне остановочного пункта "ул. Зарубина", с учетом нормативных расстояний до пешеходного перехода и остановочного пункта (5,0м и 15,0м соответственно)</t>
  </si>
  <si>
    <t>д.68/39</t>
  </si>
  <si>
    <t>д.72</t>
  </si>
  <si>
    <t>2 - Реконструкция (переоборудование) светофорного объекта с установкой пешеходных светофоров и корректировкой режима работы</t>
  </si>
  <si>
    <t xml:space="preserve">ул. им.И.С.Кутякова </t>
  </si>
  <si>
    <t>д.24</t>
  </si>
  <si>
    <t xml:space="preserve">ул. Соколовая </t>
  </si>
  <si>
    <t>д.210</t>
  </si>
  <si>
    <t>д.212</t>
  </si>
  <si>
    <t>Нарушение требований сигналов светофора;  Несоблюдение дистанции</t>
  </si>
  <si>
    <t>д.332</t>
  </si>
  <si>
    <t>д.334</t>
  </si>
  <si>
    <t xml:space="preserve">1- Проведение локально-реконструктивных работ по устройству бортового камня для обособления трамвайного полотна и разделительной полосы в зоне перекрестка на Колхозной пл.  </t>
  </si>
  <si>
    <t>ул. Танкистов</t>
  </si>
  <si>
    <t xml:space="preserve">ул. Танкистов </t>
  </si>
  <si>
    <t>д.56</t>
  </si>
  <si>
    <t>1 - Проведение локально-реконструктивных работ по изменению планировки пересечения с организацией канализированного движения транспорта в том числе для подъезда к прилегающим объектам</t>
  </si>
  <si>
    <t>д.166</t>
  </si>
  <si>
    <t>д.168/1</t>
  </si>
  <si>
    <t>2 - Перенос остановочных пунктов, расположенных на ул. Б.Садовая,  за перекресток по ходу движения с учетом нормативных требований</t>
  </si>
  <si>
    <t>3 - Устройство дополнительного освещения зоны перекрестка</t>
  </si>
  <si>
    <t>ул. им.В.И.Чапаева</t>
  </si>
  <si>
    <t>д.110а</t>
  </si>
  <si>
    <t>д.110а,к7</t>
  </si>
  <si>
    <t>д.114в</t>
  </si>
  <si>
    <t xml:space="preserve">Нарушение требований сигналов светофора;
Неожид. выход из-за стоящего ТС;
 Переход в неустановленном месте       Несоблюдение дистанции </t>
  </si>
  <si>
    <t>ул. им. Академика О.К.Антонова</t>
  </si>
  <si>
    <t>д.26</t>
  </si>
  <si>
    <t>д.26а</t>
  </si>
  <si>
    <t>1 - Проведение локально-реконструктивных мероприятий по переустройству остановочных пунктов маршрутного транспорта и приведению их размещения относительно перекрестка в соответствие нормативным требованиям (перенос остановок за перекресток по ходу движения)</t>
  </si>
  <si>
    <t>00</t>
  </si>
  <si>
    <t>ул. им. М.В.Ломоносова</t>
  </si>
  <si>
    <t>д.8/17</t>
  </si>
  <si>
    <t>д.19</t>
  </si>
  <si>
    <t xml:space="preserve"> Несоблюдение очередности проезда.</t>
  </si>
  <si>
    <t>д.15</t>
  </si>
  <si>
    <t>ул. им. И.В.Панфилова</t>
  </si>
  <si>
    <t xml:space="preserve">1 - Проведение локально-реконструктивных мероприятий по обустройству направляющих островков на пересечении для канализированного движения транспорта, а также устройству бортового камня для обособления мачт освещения и зоны парковки от проезжей части, строительству тротуара с реконструкцией светофорного объекта  </t>
  </si>
  <si>
    <t>Нарушение правил перестроения;
Нарушение правил расположения ТС;
 Несоблюдение очередности проезда.</t>
  </si>
  <si>
    <t>1 - Строительство светофорного объекта</t>
  </si>
  <si>
    <t>2 - Проведение работ по переустройству планировки пересечения в целях оптимизации канализированного движения и повышения его безопасности с соответствующей переразметкой проезжей части</t>
  </si>
  <si>
    <t>ул. им.К.Ф.Тархова</t>
  </si>
  <si>
    <t>д.10</t>
  </si>
  <si>
    <t>д.34</t>
  </si>
  <si>
    <t>д.36</t>
  </si>
  <si>
    <t>1 - Проведение локально-реконструктивных работ по устройству бортового камня для увеличения разделительной полосы и уменьшению зоны перекрестка</t>
  </si>
  <si>
    <t>ул. им. А.П.Шехурдина</t>
  </si>
  <si>
    <t>д.38</t>
  </si>
  <si>
    <t>д.39</t>
  </si>
  <si>
    <t>1 - Проведение локально-реконструктивных работ в зоне пересечения: по устройству бортового камня на участке от д.38 по ул. им. А.П.Шехурдина до Приовражной ул. со строительством посадочной площадки для маршрутного транспорта и тротуара, обособлению мачт освещения от проезжей части; по переустроуству бортового камня вдоль насыпи железной дороги на участке от нерегулируемого пешеходного перехода до д.39 по ул. им.А.П.Шехурдина со строительством тротуара, посадочной площадки для маршрутного транспорта и устройством пониженного камня в местах въезда-выезда с прилегающей территории</t>
  </si>
  <si>
    <t>д.28</t>
  </si>
  <si>
    <t>1</t>
  </si>
  <si>
    <t>пл. Ленина</t>
  </si>
  <si>
    <t xml:space="preserve">Нарушение правил проезда пешеходного перехода;
Несоблюдение очередности проезда Несоблюдение дистанции  </t>
  </si>
  <si>
    <t>1 - Проведение локально-реконструктивных мероприятий по изменению планировки пересечения со строительством направляющих островков, рефюжей, обустройством посадочных площадок, переносом остановочных пунктов, формированием мест парковки, стоянок такси, оптимизацией размещения наземных пешеходных переходов в целях улучшения условий движения, упорядочения стоянки и повышения безопасности участников дорожного движения</t>
  </si>
  <si>
    <t xml:space="preserve">пр-т Строителей </t>
  </si>
  <si>
    <t>Нарушение правил проезда пешеходного перехода.</t>
  </si>
  <si>
    <t>1 - Строительство светофорного объекта на основной проезжей части пр-та Строителей для организации регулируемого пешеходного перехода</t>
  </si>
  <si>
    <t>д.48/47</t>
  </si>
  <si>
    <t>д.52</t>
  </si>
  <si>
    <t xml:space="preserve">Нарушение правил проезда пешеходного перехода;
Несоблюдение дистанции     Нарушение правил перестроения;
Нарушение требований сигналов светофора
</t>
  </si>
  <si>
    <t>1 - Дооборудование светофорного объекта пешеходными светофорами с корректировкой режима его работы (выделение пешеходной фазы регулирования)</t>
  </si>
  <si>
    <t>д.31</t>
  </si>
  <si>
    <t>д.35</t>
  </si>
  <si>
    <t>Нарушение требований сигналов светофора;     Нарушение правил проезда пешеходного перехода.      Нарушение правил перестроения</t>
  </si>
  <si>
    <t>1 - Дооборудование светофорного объекта пешеходными светофорами с корректировкой режима его работы</t>
  </si>
  <si>
    <t>д.8/12</t>
  </si>
  <si>
    <t>д.14/26</t>
  </si>
  <si>
    <t>Нарушение правил перестроения;
 Нарушение требований сигналов светофора;
 Нарушение правил проезда пешеходного перехода.</t>
  </si>
  <si>
    <t>д. 100В</t>
  </si>
  <si>
    <t>д.102</t>
  </si>
  <si>
    <t>Нарушение правил проезда пешеходного перехода;
Нарушение требований сигналов светофора.</t>
  </si>
  <si>
    <t xml:space="preserve">1 - Устройство рефюжа для обособления разворота с северной стороны перекрестка  </t>
  </si>
  <si>
    <t>2 - Проведение локально-реконструктивных работ по строительству тротуара вдоль сквера в створе пешеходного перехода через проезжие части ул. Б.Садовая с северной стороны, переустройству бортового камня для увеличения тротуарной части у д.145 по Новоузенской ул. с учетом разрешенных направлений движения</t>
  </si>
  <si>
    <t xml:space="preserve">Нарушение правил проезда пешеходного перехода;
Нарушение требований сигналов светофора;
Несоблюдение очередности проезда;
Нарушение требований сигналов светофора (пеш.).
</t>
  </si>
  <si>
    <t>1 - Реконструкция светофорного объекта с установкой колонок в месте фактического расположения пешеходного перехода</t>
  </si>
  <si>
    <t>д.60</t>
  </si>
  <si>
    <t>1 - Реконструкция (переоборудование) светофорного объекта с установкой пешеходных светофоров и корректировкой режима работы</t>
  </si>
  <si>
    <t>д.131</t>
  </si>
  <si>
    <t>д.133</t>
  </si>
  <si>
    <t xml:space="preserve">Несоблюдение очередности проезда;
Нарушение правил проезда пешеходного перехода.
</t>
  </si>
  <si>
    <t>1 - Проведение локально-реконструктивных работ по ликвидации части парковочного кармана на ул. Мичурина и по улице Октябрьская перед перекрестком с учетом обеспечения видимости и нормативного расстояния до пешеходного перехода</t>
  </si>
  <si>
    <t xml:space="preserve">дорога на Кумысной поляне (от ул. им. Маркина Н.Г. до границы с Октябрьским районом) </t>
  </si>
  <si>
    <t>Несоблюдение очереднсти проезда  Нарушение правил проезда пешеходного перехода.</t>
  </si>
  <si>
    <t>1- Доустановка (восстановление) дорожных знаков приоритета, знаков особых предписаний и запрещающих знаков на перекрестке</t>
  </si>
  <si>
    <t xml:space="preserve">Ново-Астраханское шоссе </t>
  </si>
  <si>
    <t xml:space="preserve">Нарушение требований сигналов светофора;  Несоблюдение очередности проезда;
Неправильный выбор дистанции
</t>
  </si>
  <si>
    <t>ОБЩИЙ ИТОГ</t>
  </si>
  <si>
    <t>Протяженность дороги (улицы), км</t>
  </si>
  <si>
    <t>Протяженность автодороги, находящейся в нормативном состоянии, км/%</t>
  </si>
  <si>
    <t>Плановые сроки проедения инструментальной диагностики</t>
  </si>
  <si>
    <t>Фактическое состояние на 31.12.2018</t>
  </si>
  <si>
    <t>Ожидаемое состояние на 31.12.2019</t>
  </si>
  <si>
    <t>Ожидаемое состояние на 31.12.2020</t>
  </si>
  <si>
    <t>Ожидаемое состояние на 31.12.2024</t>
  </si>
  <si>
    <t>Инстументальная диагностика</t>
  </si>
  <si>
    <t>Экспертная оценка</t>
  </si>
  <si>
    <t>%</t>
  </si>
  <si>
    <t>Дата проведения</t>
  </si>
  <si>
    <t>Месяц</t>
  </si>
  <si>
    <t>Год</t>
  </si>
  <si>
    <t>автомобильная дорога "Пугачев - Перелюб" - Клинцовка - Октябрьский" (в пределах района)</t>
  </si>
  <si>
    <t>автомобильная дорога "Калининск - Широкий Уступ - Екатериновка" (в пределах  Калининского района)</t>
  </si>
  <si>
    <t>автомобильная дорога "Самойловка - Казачка" (в пределах Самойловского  района)</t>
  </si>
  <si>
    <t>автомобильная дорога "Самара - Пугачев - Энгельс - Волгоград" на участке обхода г. Пугачева (км 0+000 - км 16+894)</t>
  </si>
  <si>
    <t>автомобильная дорога "Самара - Пугачев - Энгельс - Волгоград" (в пределах Балаковского  района)</t>
  </si>
  <si>
    <t>автомобильная дорога "Р-22 "Каспий" автомобильная дорога М-4 "Дон" - Тамбов - Волгоград - Астрахань, подъезд к г. Саратов" - с. Кувыка - автомобильная дорога "Тамбов - Ртищево - Саратов"</t>
  </si>
  <si>
    <t>805685</t>
  </si>
  <si>
    <t>декабрь</t>
  </si>
  <si>
    <t>автомобильная дорога "Саратов - Тепловка - Базарный Карабулак - Балтай" (в пределах Базарнокарабулакского района)</t>
  </si>
  <si>
    <t>автомобильная дорога "Саратов - Тепловка - Базарный Карабулак - Балтай" (в пределах Новобурасского  района)</t>
  </si>
  <si>
    <t>805455</t>
  </si>
  <si>
    <t>805861</t>
  </si>
  <si>
    <t>805504</t>
  </si>
  <si>
    <t>805856</t>
  </si>
  <si>
    <t>805868</t>
  </si>
  <si>
    <t>805680</t>
  </si>
  <si>
    <t>805512</t>
  </si>
  <si>
    <t>805860</t>
  </si>
  <si>
    <t>автоподъезд к с. Синенькие от автоподъезда к г. Саратову от автомобильной дороги "Р-228 "Сызрань - Саратов - Волгоград"</t>
  </si>
  <si>
    <t>805572</t>
  </si>
  <si>
    <t>805671</t>
  </si>
  <si>
    <t>автомобильная дорога "Урбах - Ждановка - Новоузенск - Александров Гай" (в пределах Советского района)</t>
  </si>
  <si>
    <t>автоподъезд к п. Луков Кордон от автомобильной дороги "Урбах - Ждановка - Новоузенск - Александров Гай" (в пределах района)</t>
  </si>
  <si>
    <t>автомобильная дорога "Базарный Карабулак - Вязовка - Садовка" (в пределах района)</t>
  </si>
  <si>
    <t>обход р.п. Балтай</t>
  </si>
  <si>
    <t>805585</t>
  </si>
  <si>
    <t>автомобильная дорога "Большие Озерки - Чернобулак"</t>
  </si>
  <si>
    <t>805586</t>
  </si>
  <si>
    <t>автомобильная дорога "Балтай - Осановка"</t>
  </si>
  <si>
    <t>805528</t>
  </si>
  <si>
    <t>805639</t>
  </si>
  <si>
    <t>автоподъезд к с. Барановка от автомобильной дороги "Р-228 "Сызрань - Саратов - Волгоград"</t>
  </si>
  <si>
    <t>805529</t>
  </si>
  <si>
    <t>автоподъезд к с. Талалихино - с. Куликовка от автомобильной дороги "Р-228 "Сызрань - Саратов - Волгоград" на участке км 0 + 000 - км 2 + 680</t>
  </si>
  <si>
    <t>автоподъезд к с. Куриловка от автомобильной дороги "Р-228 "Сызрань - Саратов - Волгоград"</t>
  </si>
  <si>
    <t>автомобильная дорога Богатое - Рощино - Апалиха (в пределах района)</t>
  </si>
  <si>
    <t>805699</t>
  </si>
  <si>
    <t>автоподъезд к д. Андреевка от автомобильной дороги "Р-228 "Сызрань - Саратов - Волгоград"</t>
  </si>
  <si>
    <t>805587</t>
  </si>
  <si>
    <t>автоподъезд к с. Усовка от автомобильной дороги "Р-228 "Сызрань - Саратов - Волгоград"</t>
  </si>
  <si>
    <t>автоподъезд к с. Букатовка - с. Кошели от автомобильной дороги "Воскресенское - Синодское"</t>
  </si>
  <si>
    <t>805426</t>
  </si>
  <si>
    <t>автоподъезд к с. Новая Алексеевка от автомобильной дороги "Воскресенское - Синодское"</t>
  </si>
  <si>
    <t>805588</t>
  </si>
  <si>
    <t>автомобильная дорога "Новая Алексеевка - Булгаковка"</t>
  </si>
  <si>
    <t>805627</t>
  </si>
  <si>
    <t>автомобильная дорога "Андреевка - Ключи" (в пределах района)</t>
  </si>
  <si>
    <t>805752</t>
  </si>
  <si>
    <t>автомобильная дорога "с. Чардым - база отдыха ГУП "Чардым - Дубрава"</t>
  </si>
  <si>
    <t>805832</t>
  </si>
  <si>
    <t>автоподъезд к р.п. Дергачи (западный) от автомобильной дороги "А-298 автомобильная дорога Р-228 "Сызрань - Саратов - Волгоград" - Пристанное - Ершов - Озинки - граница с Республикой Казахстан"</t>
  </si>
  <si>
    <t>805427</t>
  </si>
  <si>
    <t>автоподъезд к р.п. Дергачи (восточный) от автомобильной дороги "А-298 автомобильная дорога Р-228 "Сызрань - Саратов - Волгоград" - Пристанное - Ершов - Озинки - граница с Республикой Казахстан"</t>
  </si>
  <si>
    <t>805589</t>
  </si>
  <si>
    <t>автоподъезд к с. Петропавловка от автомобильной дороги "А-298 автомобильная дорога Р-228 "Сызрань - Саратов - Волгоград" - Пристанное - Ершов - Озинки - граница с Республикой Казахстан"</t>
  </si>
  <si>
    <t>805753</t>
  </si>
  <si>
    <t>автомобильная дорога "Первомайский - Камышево"</t>
  </si>
  <si>
    <t>805700</t>
  </si>
  <si>
    <t>автоподъезд к п. Жадовка от автомобильной дороги "А-298 автомобильная дорога Р-228 "Сызрань - Саратов - Волгоград" - Пристанное - Ершов - Озинки - граница с Республикой Казахстан"</t>
  </si>
  <si>
    <t>805701</t>
  </si>
  <si>
    <t>автомобильная дорога "Демьяс - Восточный"</t>
  </si>
  <si>
    <t>805590</t>
  </si>
  <si>
    <t>автомобильная дорога "Орошаемый - Зерновой - Золотуха", на участке км 0 + 000 - км 47 + 790</t>
  </si>
  <si>
    <t>805702</t>
  </si>
  <si>
    <t>автомобильная дорога "Демьяс - Красноозерный", на участке км 0 + 000 - км 29 + 420</t>
  </si>
  <si>
    <t>805530</t>
  </si>
  <si>
    <t>автомобильная дорога "Дергачи - Алтата - Орошаемый - Сафаровка"</t>
  </si>
  <si>
    <t>805833</t>
  </si>
  <si>
    <t>автомобильная дорога "Дергачи - Советский"</t>
  </si>
  <si>
    <t>805531</t>
  </si>
  <si>
    <t>автоподъезд к с. Горяиновка от автомобильной дороги "Балаково - Духовницкое"</t>
  </si>
  <si>
    <t>805703</t>
  </si>
  <si>
    <t>автоподъезд к с. Озерки от автомобильной дороги "Балаково - Духовницкое"</t>
  </si>
  <si>
    <t>805640</t>
  </si>
  <si>
    <t>автоподъезд к с. Новозахаркино от автомобильной дороги "Балаково - Духовницкое"</t>
  </si>
  <si>
    <t>805486</t>
  </si>
  <si>
    <t>автоподъезд к п. Полеводинский от автомобильной дороги "Балаково - Духовницкое"</t>
  </si>
  <si>
    <t>805487</t>
  </si>
  <si>
    <t>автоподъезд к с. Дмитриевка от автомобильной дороги "Балаково - Духовницкое"</t>
  </si>
  <si>
    <t>805592</t>
  </si>
  <si>
    <t>автоподъезд к с. Брыковка от автомобильной дороги "Духовницкое - Никольское - Богородское"</t>
  </si>
  <si>
    <t>805488</t>
  </si>
  <si>
    <t>автоподъезд к с. Березовая Лука от автомобильной дороги "Духовницкое - Никольское - Богородское"</t>
  </si>
  <si>
    <t>805533</t>
  </si>
  <si>
    <t>автоподъезд к с. Левенка от автомобильной дороги "Пугачев - Селезниха - Мавринка"</t>
  </si>
  <si>
    <t>805593</t>
  </si>
  <si>
    <t>автомобильная дорога "Бакуры - Комаровка"</t>
  </si>
  <si>
    <t>805705</t>
  </si>
  <si>
    <t>автомобильная дорога "Екатериновка - Крутояр"</t>
  </si>
  <si>
    <t>805754</t>
  </si>
  <si>
    <t>автомобильная дорога "Кипцы - Индустриальный"</t>
  </si>
  <si>
    <t>805428</t>
  </si>
  <si>
    <t>автоподъезд к с. Прудовое от автомобильной дороги "Калининск - Широкий Уступ - Екатериновка"</t>
  </si>
  <si>
    <t>805755</t>
  </si>
  <si>
    <t>автоподъезд к с. Галахово от автомобильной дороги "Калининск - Широкий Уступ - Екатериновка"</t>
  </si>
  <si>
    <t>805643</t>
  </si>
  <si>
    <t>автомобильная дорога "Ивановка - Аннино"</t>
  </si>
  <si>
    <t>805429</t>
  </si>
  <si>
    <t>автоподъезд к с. Антоновка от автомобильной дороги "А-298 автомобильная дорога Р-228 "Сызрань - Саратов - Волгоград" - Пристанное - Ершов - Озинки - граница с Республикой Казахстан"</t>
  </si>
  <si>
    <t>805490</t>
  </si>
  <si>
    <t>автоподъезд к с. Рефлектор от автомобильной дороги "А-298 автомобильная дорога Р-228 "Сызрань - Саратов - Волгоград" - Пристанное - Ершов - Озинки - граница с Республикой Казахстан"</t>
  </si>
  <si>
    <t>805834</t>
  </si>
  <si>
    <t>автоподъезд к с. Семено-Полтавка от автомобильной дороги "А-298 автомобильная дорога Р-228 "Сызрань - Саратов - Волгоград" - Пристанное - Ершов - Озинки - граница с Республикой Казахстан"</t>
  </si>
  <si>
    <t>805707</t>
  </si>
  <si>
    <t>автоподъезд к п. Новосельский от автомобильной дороги "Ершов - Чапаевка"</t>
  </si>
  <si>
    <t>805708</t>
  </si>
  <si>
    <t>автоподъезд к с. Марьевка от автомобильной дороги "Ершов - Чапаевка"</t>
  </si>
  <si>
    <t>805595</t>
  </si>
  <si>
    <t>автоподъезд к п. Кушумский от автомобильной дороги "Ершов - Чапаевка"</t>
  </si>
  <si>
    <t>805758</t>
  </si>
  <si>
    <t>автоподъезд к с. Миусс от автомобильной дороги "Ершов - Чапаевка"</t>
  </si>
  <si>
    <t>805759</t>
  </si>
  <si>
    <t>автоподъезд к с. Ивантеевка (северный), на участке км 0 + 000 - км 1 + 450 от автомобильной дороги "Самара - Пугачев - Энгельс - Волгоград"</t>
  </si>
  <si>
    <t>805492</t>
  </si>
  <si>
    <t>автоподъезд к с. Ивантеевка (южный) от автомобильной дороги "Самара - Пугачев - Энгельс - Волгоград"</t>
  </si>
  <si>
    <t>805629</t>
  </si>
  <si>
    <t>автомобильная дорога "Ивантеевка - Раевка", на участке км 2 + 000 - км 13 + 520</t>
  </si>
  <si>
    <t>805835</t>
  </si>
  <si>
    <t>автомобильная дорога "Ивантеевка - Бартеневка"</t>
  </si>
  <si>
    <t>805709</t>
  </si>
  <si>
    <t>автоподъезд к ж/д ст. Тополек от автомобильной дороги "Ивантеевка - Бартеневка"</t>
  </si>
  <si>
    <t>805644</t>
  </si>
  <si>
    <t>автомобильная дорога "Ивантеевка - Ивановка - Горелый Гай - Яблоновый Гай - Канаевка - ж/д ст. Клевенка"</t>
  </si>
  <si>
    <t>805534</t>
  </si>
  <si>
    <t>автомобильная дорога "Ивантеевка - Чернава - Восточный", на участке км 0 + 000 - км 19 + 200</t>
  </si>
  <si>
    <t>805493</t>
  </si>
  <si>
    <t>автоподъезд к с. Анастасьино от автомобильной дороги "Калининск - Широкий Уступ - Екатериновка"</t>
  </si>
  <si>
    <t>805430</t>
  </si>
  <si>
    <t>автоподъезд к с. Шклово от автомобильной дороги "Калининск - Свердлово - Колокольцовка - Кленовка (Волгоградская область)"</t>
  </si>
  <si>
    <t>805711</t>
  </si>
  <si>
    <t>автомобильная дорога "Свердлово - Красноармейское"</t>
  </si>
  <si>
    <t>805838</t>
  </si>
  <si>
    <t>автоподъезд к с. Озерки - с. Нижегороды от автомобильной дороги "Р-22 "Каспий" автомобильная дорога М-4 "Дон" - Тамбов - Волгоград - Астрахань, подъезд к г. Саратов"</t>
  </si>
  <si>
    <t>805494</t>
  </si>
  <si>
    <t>автоподъезд к с. Малая Екатериновка от автомобильной дороги "Р-22 "Каспий" автомобильная дорога М-4 "Дон" - Тамбов - Волгоград - Астрахань, подъезд к г. Саратов"</t>
  </si>
  <si>
    <t>805431</t>
  </si>
  <si>
    <t>автоподъезд к с. Сергиевка от автомобильной дороги "Р-22 "Каспий" автомобильная дорога М-4 "Дон" - Тамбов - Волгоград - Астрахань, подъезд к г. Саратов"</t>
  </si>
  <si>
    <t>805647</t>
  </si>
  <si>
    <t>автомобильная дорога "Малая Екатериновка - Федоровка - автомобильная дорога "Калининск - Таловка - Орловка"</t>
  </si>
  <si>
    <t>805648</t>
  </si>
  <si>
    <t>автоподъезд к х. Круглый от автомобильной дороги "Малая Екатериновка - Федоровка - автомобильная дорога "Калининск - Таловка - Орловка"</t>
  </si>
  <si>
    <t>805536</t>
  </si>
  <si>
    <t>автомобильная дорога "Красноармейск - Некрасово"</t>
  </si>
  <si>
    <t>805432</t>
  </si>
  <si>
    <t>автоподъезд к с. Высокое на участке км 0+000 - км 9+ 900 от автомобильной дороги "Красноармейск - Некрасово"</t>
  </si>
  <si>
    <t>805433</t>
  </si>
  <si>
    <t>автоподъезд к р.п. Каменский - с. Карамышевка от автомобильной дороги "Р-228 "Сызрань - Саратов - Волгоград" на участке км 0 + 000 - км 6 + 645</t>
  </si>
  <si>
    <t>805686</t>
  </si>
  <si>
    <t>южный обход г. Красноармейска</t>
  </si>
  <si>
    <t>805537</t>
  </si>
  <si>
    <t>автоподъезд к с. Золотое от автоподъезда Рогаткино - Дубовка от автомобильной дороги "Р-228 "Сызрань - Саратов - Волгоград"</t>
  </si>
  <si>
    <t>805713</t>
  </si>
  <si>
    <t>автоподъезд к ж/д ст. Паницкая от автомобильной дороги "Р-228 "Сызрань - Саратов - Волгоград"</t>
  </si>
  <si>
    <t>805538</t>
  </si>
  <si>
    <t>автоподъезд к с. Каменка от автомобильной дороги "Р-228 "Сызрань - Саратов - Волгоград"</t>
  </si>
  <si>
    <t>805714</t>
  </si>
  <si>
    <t>автоподъезд к ж/д ст. Карамыш - Высокое - Старая Топовка от автомобильной дороги "Р-228 "Сызрань - Саратов - Волгоград" на участке км 0 + 000 - км 12 + 223</t>
  </si>
  <si>
    <t>805434</t>
  </si>
  <si>
    <t>автоподъезд к с. Первомайское от автомобильной дороги "Р-228 "Сызрань - Саратов - Волгоград"</t>
  </si>
  <si>
    <t>805840</t>
  </si>
  <si>
    <t>автоподъезд к с. Нижняя Банновка от автомобильной дороги "Р-228 "Сызрань - Саратов - Волгоград"</t>
  </si>
  <si>
    <t>805841</t>
  </si>
  <si>
    <t>автоподъезд к с. Меловое от автомобильной дороги "Р-228 "Сызрань - Саратов - Волгоград"</t>
  </si>
  <si>
    <t>805839</t>
  </si>
  <si>
    <t>автоподъезд к с. Луганское от автомобильной дороги "Р-228 "Сызрань - Саратов - Волгоград"</t>
  </si>
  <si>
    <t>805760</t>
  </si>
  <si>
    <t>автоподъезд к с. Лебедевка от автомобильной дороги "Урбах - Ждановка - Новоузенск - Александров Гай"</t>
  </si>
  <si>
    <t>805539</t>
  </si>
  <si>
    <t>автомобильная дорога "Красный Кут - Дьяковка - Лепехинка"</t>
  </si>
  <si>
    <t>805540</t>
  </si>
  <si>
    <t>автоподъезд к с. Чкалово от автомобильной дороги "Красный Кут - Дьяковка - Лепехинка"</t>
  </si>
  <si>
    <t>805650</t>
  </si>
  <si>
    <t>автоподъезд к с. Кирово от автомобильной дороги "Красный Кут - Дьяковка - Лепехинка"</t>
  </si>
  <si>
    <t>805541</t>
  </si>
  <si>
    <t>автомобильная дорога "Красный Кут - Журавлевка"</t>
  </si>
  <si>
    <t>805761</t>
  </si>
  <si>
    <t>автомобильная дорога "Ахмат - Интернациональное"</t>
  </si>
  <si>
    <t>805495</t>
  </si>
  <si>
    <t>автоподъезд к с. Лавровка от автомобильной дороги "Ахмат - Интернациональное"</t>
  </si>
  <si>
    <t>805762</t>
  </si>
  <si>
    <t>автоподъезд к с. Первомайское от автомобильной дороги "Ахмат - Интернациональное"</t>
  </si>
  <si>
    <t>805496</t>
  </si>
  <si>
    <t>автоподъезд к с. Логиновка от автоподъезда к г. Красный Кут от автомобильной дороги "Урбах - Ждановка - Новоузенск - Александров Гай"</t>
  </si>
  <si>
    <t>805764</t>
  </si>
  <si>
    <t>автомобильная дорога "Норки - Верхний Еруслан"</t>
  </si>
  <si>
    <t>805872</t>
  </si>
  <si>
    <t>автомобильная дорога "Рукополь - Сулак - Большой Кушум" (в пределах района)</t>
  </si>
  <si>
    <t>805715</t>
  </si>
  <si>
    <t>автоподъезд к с. Сулак от автомобильной дороги "Рукополь - Сулак - Большой Кушум"</t>
  </si>
  <si>
    <t>805842</t>
  </si>
  <si>
    <t>автомобильная дорога "Рукополь - Корнеевка - Чистопольский - Семеновка" на участке км 0+000 - км 33+550</t>
  </si>
  <si>
    <t>805765</t>
  </si>
  <si>
    <t>автомобильная дорога "Рукополь - Беленка" на участке км 0+000 - км 1+955</t>
  </si>
  <si>
    <t>805843</t>
  </si>
  <si>
    <t>автомобильная дорога "Горный - Головинщено"</t>
  </si>
  <si>
    <t>805596</t>
  </si>
  <si>
    <t>автомобильная дорога "Корнеевка - Милорадовка"</t>
  </si>
  <si>
    <t>805844</t>
  </si>
  <si>
    <t>автоподъезд к с. Большая Сакма от автомобильной дороги "Горный - Березово"</t>
  </si>
  <si>
    <t>805471</t>
  </si>
  <si>
    <t>автоподъезд к с. Раздольное от автомобильной дороги "Пугачев - Перелюб" - Клинцовка - Октябрьский" (в пределах района)</t>
  </si>
  <si>
    <t>автомобильная дорога "Рукополь - Раздольное" - автомобильная дорога "Рукополь - Корнеевка - Чистопольский - Семеновка"</t>
  </si>
  <si>
    <t>автомобильная дорога "Милорадовка - Головинщено"</t>
  </si>
  <si>
    <t>автоподъезд к с. Семено-Полтавка от автомобильной дороги "Горный - Головинщено" (в пределах района)</t>
  </si>
  <si>
    <t>805651</t>
  </si>
  <si>
    <t>автоподъезд к р.п. Лысые Горы от автомобильной дороги "Шереметьевка - Урицкое - Широкий Карамыш - Большие Копены"</t>
  </si>
  <si>
    <t>805497</t>
  </si>
  <si>
    <t>автоподъезд к с. Атаевка от автомобильной дороги "Шереметьевка - Урицкое - Широкий Карамыш - Большие Копены"</t>
  </si>
  <si>
    <t>805652</t>
  </si>
  <si>
    <t>автоподъезд к с. Невежкино от автомобильной дороги "Шереметьевка - Урицкое - Широкий Карамыш - Большие Копены"</t>
  </si>
  <si>
    <t>805598</t>
  </si>
  <si>
    <t>автомобильная дорога "Озерки - Гремячий - Ключи"</t>
  </si>
  <si>
    <t>805437</t>
  </si>
  <si>
    <t>автоподъезд к р.п. Лысые Горы (западный) от автомобильной дороги "Р-22 "Каспий" автомобильная дорога М-4 "Дон" - Тамбов - Волгоград - Астрахань, подъезд к г. Саратов"</t>
  </si>
  <si>
    <t>805543</t>
  </si>
  <si>
    <t>автоподъезд к р.п. Лысые Горы (восточный) от автомобильной дороги "Р-22 "Каспий" автомобильная дорога М-4 "Дон" - Тамбов - Волгоград - Астрахань, подъезд к г. Саратов"</t>
  </si>
  <si>
    <t>805438</t>
  </si>
  <si>
    <t>автоподъезд к с. Новая Красавка от автомобильной дороги "Р-22 "Каспий" автомобильная дорога М-4 "Дон" - Тамбов - Волгоград - Астрахань, подъезд к г. Саратов"</t>
  </si>
  <si>
    <t>805653</t>
  </si>
  <si>
    <t>автоподъезд к п. Октябрьский от автомобильной дороги "Р-22 "Каспий" автомобильная дорога М-4 "Дон" - Тамбов - Волгоград - Астрахань, подъезд к г. Саратов"</t>
  </si>
  <si>
    <t>805439</t>
  </si>
  <si>
    <t>автоподъезд к с. Липовка от автомобильной дороги "Р-22 "Каспий" автомобильная дорога М-4 "Дон" - Тамбов - Волгоград - Астрахань, подъезд к г. Саратов"</t>
  </si>
  <si>
    <t>805654</t>
  </si>
  <si>
    <t>автоподъезд к п. Первомайский от автомобильной дороги "Р-22 "Каспий" автомобильная дорога М-4 "Дон" - Тамбов - Волгоград - Астрахань, подъезд к г. Саратов"</t>
  </si>
  <si>
    <t>805846</t>
  </si>
  <si>
    <t>автоподъезд к с. Юнгеровка от автомобильной дороги "Р-22 "Каспий" автомобильная дорога М-4 "Дон" - Тамбов - Волгоград - Астрахань, подъезд к г. Саратов"</t>
  </si>
  <si>
    <t>805717</t>
  </si>
  <si>
    <t>автоподъезд к с. Топовка от автомобильной дороги "Р-22 "Каспий" автомобильная дорога М-4 "Дон" - Тамбов - Волгоград - Астрахань, подъезд к г. Саратов"</t>
  </si>
  <si>
    <t>805544</t>
  </si>
  <si>
    <t>автомобильная дорога "Лысые Горы - Яблочный"</t>
  </si>
  <si>
    <t>805464</t>
  </si>
  <si>
    <t>автомобильная дорога "Большая Дмитриевка - Двоенка"</t>
  </si>
  <si>
    <t>805599</t>
  </si>
  <si>
    <t>автоподъезд к с. Чадаевка от автомобильной дороги "Р-22 "Каспий" автомобильная дорога М-4 "Дон" - Тамбов - Волгоград - Астрахань, подъезд к г. Саратов"</t>
  </si>
  <si>
    <t>805545</t>
  </si>
  <si>
    <t>автоподъезд к с. Подлесное от автомобильной дороги "Самара - Пугачев - Энгельс - Волгоград"</t>
  </si>
  <si>
    <t>805546</t>
  </si>
  <si>
    <t>автоподъезд к с. Зоркино от автомобильной дороги "Самара - Пугачев - Энгельс - Волгоград"</t>
  </si>
  <si>
    <t>805718</t>
  </si>
  <si>
    <t>автоподъезд к с. Новые Пески от автомобильной дороги "Лысые Горы - Чадаевка"</t>
  </si>
  <si>
    <t>805440</t>
  </si>
  <si>
    <t>автоподъезд к базе отдыха "Экономист"</t>
  </si>
  <si>
    <t>805465</t>
  </si>
  <si>
    <t>автомобильная дорога "Обход г. Маркса"</t>
  </si>
  <si>
    <t>805498</t>
  </si>
  <si>
    <t>автоподъезд к базе отдыха "Буревестник"</t>
  </si>
  <si>
    <t>805547</t>
  </si>
  <si>
    <t>автоподъезд к базе отдыха "Чайка"</t>
  </si>
  <si>
    <t>805519</t>
  </si>
  <si>
    <t>автоподъезд к р.п. Новые Бурасы от автомобильной дороги "Саратов - Тепловка - Базарный Карабулак - Балтай"</t>
  </si>
  <si>
    <t>805655</t>
  </si>
  <si>
    <t>автоподъезд к с. Аряш от автомобильной дороги "Саратов - Тепловка - Базарный Карабулак - Балтай"</t>
  </si>
  <si>
    <t>805767</t>
  </si>
  <si>
    <t>автоподъезд к с. Голицыно от автомобильной дороги "Саратов - Тепловка - Базарный Карабулак - Балтай"</t>
  </si>
  <si>
    <t>805518</t>
  </si>
  <si>
    <t>автомобильная дорога "Леляевка - Чечуйка (Пензенская обл.)"</t>
  </si>
  <si>
    <t>805601</t>
  </si>
  <si>
    <t>автомобильная дорога "Новые Бурасы - Лох - Гремячка - Красная Речка"</t>
  </si>
  <si>
    <t>805602</t>
  </si>
  <si>
    <t>автомобильная дорога "Вихляйка - Малые Озерки - Леляевка"</t>
  </si>
  <si>
    <t>805847</t>
  </si>
  <si>
    <t>обход р.п. Новые Бурасы</t>
  </si>
  <si>
    <t>805769</t>
  </si>
  <si>
    <t>автомобильная дорога "Новые Бурасы - Марьино-Лашмино"</t>
  </si>
  <si>
    <t>805656</t>
  </si>
  <si>
    <t>автоподъезд к с. Дмитриевка от автомобильной дороги "Урбах - Ждановка - Новоузенск - Александров Гай"</t>
  </si>
  <si>
    <t>805657</t>
  </si>
  <si>
    <t>автоподъезд к п. Узенский от автомобильной дороги "Урбах - Ждановка - Новоузенск - Александров Гай"</t>
  </si>
  <si>
    <t>805603</t>
  </si>
  <si>
    <t>автоподъезд к с. Куриловка от автомобильной дороги "Урбах - Ждановка - Новоузенск - Александров Гай"</t>
  </si>
  <si>
    <t>805658</t>
  </si>
  <si>
    <t>автомобильная дорога "Дмитриевка - Кубанка" на участке км 0 - км 2+660</t>
  </si>
  <si>
    <t>805548</t>
  </si>
  <si>
    <t>автомобильная дорога "Новоузенск - Основной"</t>
  </si>
  <si>
    <t>805441</t>
  </si>
  <si>
    <t>автоподъезд к п. Дюрский от автомобильной дороги "Новоузенск - Основной"</t>
  </si>
  <si>
    <t>805770</t>
  </si>
  <si>
    <t>автоподъезд к с. Пограничное от автомобильной дороги "Новоузенск - Основной"</t>
  </si>
  <si>
    <t>805848</t>
  </si>
  <si>
    <t>автоподъезд к х. Чилижный от автомобильной дороги "Новоузенск - Основной"</t>
  </si>
  <si>
    <t>805722</t>
  </si>
  <si>
    <t>автоподъезд к с. Солянка от автомобильной дороги "Новоузенск - Основной"</t>
  </si>
  <si>
    <t>805771</t>
  </si>
  <si>
    <t>автоподъезд к х. Степной от автомобильной дороги "Новоузенск - Основной"</t>
  </si>
  <si>
    <t>805812</t>
  </si>
  <si>
    <t>Новоузенск - птицефабрика</t>
  </si>
  <si>
    <t>805723</t>
  </si>
  <si>
    <t>Новоузенск - Промзона</t>
  </si>
  <si>
    <t>805772</t>
  </si>
  <si>
    <t>автоподъезд к п. Чертанла от автомобильной дороги "Новоузенск - Основной"</t>
  </si>
  <si>
    <t>805521</t>
  </si>
  <si>
    <t>Алгайский - МТФ (молочно-товарная ферма)</t>
  </si>
  <si>
    <t>805604</t>
  </si>
  <si>
    <t>автоподъезд к п. Алгайский от автомобильной дороги "Новоузенск - Ленинский"</t>
  </si>
  <si>
    <t>805549</t>
  </si>
  <si>
    <t>автомобильная дорога "Новоузенск - Радищево"</t>
  </si>
  <si>
    <t>805773</t>
  </si>
  <si>
    <t>автомобильная дорога "Алгайский - Мирный"</t>
  </si>
  <si>
    <t>805774</t>
  </si>
  <si>
    <t>автомобильная дорога "Основной - Шукеев"</t>
  </si>
  <si>
    <t>805605</t>
  </si>
  <si>
    <t>автомобильная дорога "Новоузенск - Ленинский" - Петропавловка"</t>
  </si>
  <si>
    <t>805550</t>
  </si>
  <si>
    <t>автомобильная дорога "Петропавловка - Лохматовка"</t>
  </si>
  <si>
    <t>805442</t>
  </si>
  <si>
    <t>автоподъезд к п. Синегорский от автомобильной дороги "Озинки - Перелюб"</t>
  </si>
  <si>
    <t>805776</t>
  </si>
  <si>
    <t>автомобильная дорога "Озинки - Старые Озинки"</t>
  </si>
  <si>
    <t>805499</t>
  </si>
  <si>
    <t>автомобильная дорога "Липовский - Светлое Озеро" на участке км 0 - км 9 + 250</t>
  </si>
  <si>
    <t>805849</t>
  </si>
  <si>
    <t>автомобильная дорога "Балаши - Новочерниговка"</t>
  </si>
  <si>
    <t>805724</t>
  </si>
  <si>
    <t>автомобильная дорога "Озинки - Пигари - Первоцелинный"</t>
  </si>
  <si>
    <t>805850</t>
  </si>
  <si>
    <t>автоподъезд к п. Липовский от автомобильной дороги "Озинки - Пигари - Первоцелинный"</t>
  </si>
  <si>
    <t>805851</t>
  </si>
  <si>
    <t>автоподъезд к п. Новочерниговка от автомобильной дороги "Озинки - Пигари - Первоцелинный"</t>
  </si>
  <si>
    <t>805660</t>
  </si>
  <si>
    <t>автомобильная дорога Старые Озинки - Сланцевый Рудник</t>
  </si>
  <si>
    <t>805443</t>
  </si>
  <si>
    <t>автоподъезд к р.п. Озинки (западный) от автомобильной дороги "А-298 автомобильная дорога Р-228 "Сызрань - Саратов - Волгоград" - Пристанное - Ершов - Озинки - граница с Республикой Казахстан"</t>
  </si>
  <si>
    <t>805552</t>
  </si>
  <si>
    <t>автоподъезд к р.п. Озинки (восточный) от автомобильной дороги "А-298 автомобильная дорога Р-228 "Сызрань - Саратов - Волгоград" - Пристанное - Ершов - Озинки - граница с Республикой Казахстан"</t>
  </si>
  <si>
    <t>805444</t>
  </si>
  <si>
    <t>автоподъезд к с. Пигари от автомобильной дороги "Озинки - Пигари - Первоцелинный"</t>
  </si>
  <si>
    <t>805852</t>
  </si>
  <si>
    <t>автоподъезд к п. Молодежный от автомобильной дороги "Пугачев - Перелюб"</t>
  </si>
  <si>
    <t>805445</t>
  </si>
  <si>
    <t>автоподъезд к п. Октябрьский от автомобильной дороги "Пугачев - Перелюб"</t>
  </si>
  <si>
    <t>805553</t>
  </si>
  <si>
    <t>автоподъезд к с. Грачев Куст от автомобильной дороги "Пугачев - Перелюб"</t>
  </si>
  <si>
    <t>805853</t>
  </si>
  <si>
    <t>автоподъезд к п. Тепловский на участке км 0+000 - км 15+520 от автомобильной дороги "Пугачев - Перелюб"</t>
  </si>
  <si>
    <t>805777</t>
  </si>
  <si>
    <t>автоподъезд к ст. Новый Перелюб от автоподъезда к п. Пригорки от автомобильной дороги "Пугачев - Перелюб"</t>
  </si>
  <si>
    <t>805725</t>
  </si>
  <si>
    <t>автоподъезд к п. Пригорки от автомобильной дороги "Пугачев - Перелюб"</t>
  </si>
  <si>
    <t>805661</t>
  </si>
  <si>
    <t>автомобильная дорога "Перелюб - Натальин Яр - Тараховка"</t>
  </si>
  <si>
    <t>805662</t>
  </si>
  <si>
    <t>автоподъезд к с. Кучумбетово от автомобильной дороги "Озинки - Перелюб"</t>
  </si>
  <si>
    <t>805607</t>
  </si>
  <si>
    <t>автоподъезд к п. Целинный от автомобильной дороги "Озинки - Перелюб"</t>
  </si>
  <si>
    <t>805663</t>
  </si>
  <si>
    <t>автоподъезд к с. Калинин от автомобильной дороги "Озинки - Перелюб"</t>
  </si>
  <si>
    <t>805447</t>
  </si>
  <si>
    <t>автоподъезд к с. Холманка от автомобильной дороги "Озинки - Перелюб"</t>
  </si>
  <si>
    <t>805554</t>
  </si>
  <si>
    <t>автомобильная дорога "Иваниха - Новокамелик" (в пределах района)</t>
  </si>
  <si>
    <t>805501</t>
  </si>
  <si>
    <t>автоподъезд к г. Петровску (центральный) от автомобильной дороги "Р-158 "Нижний Новгород - Арзамас - Саранск - Исса - Пенза - Саратов"</t>
  </si>
  <si>
    <t>805555</t>
  </si>
  <si>
    <t>автоподъезд к с. Новозахаркино от автомобильной дороги "Р-158 "Нижний Новгород - Арзамас - Саранск - Исса - Пенза - Саратов"</t>
  </si>
  <si>
    <t>805664</t>
  </si>
  <si>
    <t>автоподъезд к г. Петровску (северный) от автомобильной дороги "Р-158 "Нижний Новгород - Арзамас - Саранск - Исса - Пенза - Саратов"</t>
  </si>
  <si>
    <t>805726</t>
  </si>
  <si>
    <t>автоподъезд к г. Петровску (южный) от автомобильной дороги "Р-158 "Нижний Новгород - Арзамас - Саранск - Исса - Пенза - Саратов"</t>
  </si>
  <si>
    <t>805854</t>
  </si>
  <si>
    <t>автомобильная дорога "Р-158 "Нижний Новгород - Арзамас - Саранск - Исса - Пенза - Саратов" - "Березовка - Студеный" на участке км 0 + 000 - км 25 + 355</t>
  </si>
  <si>
    <t>805778</t>
  </si>
  <si>
    <t>автоподъезд к с. Сосновоборское - с. Асметовка от автомобильной дороги "Р-158 "Нижний Новгород - Арзамас - Саранск - Исса - Пенза - Саратов" - "Березовка - Студеный"</t>
  </si>
  <si>
    <t>805780</t>
  </si>
  <si>
    <t>автоподъезд к г. Петровску от автомобильной дороги "Р-158 "Нижний Новгород - Арзамас - Саранск - Исса - Пенза - Саратов" - "Савкино - Лопатино (Пензенская область)"</t>
  </si>
  <si>
    <t>805665</t>
  </si>
  <si>
    <t>автоподъезд к с. Синенькие от автомобильной дороги "Р-158 "Нижний Новгород - Арзамас - Саранск - Исса - Пенза - Саратов" - "Савкино - Лопатино (Пензенская область)"</t>
  </si>
  <si>
    <t>805779</t>
  </si>
  <si>
    <t>Подходы к мостовому переходу через р. Медведицу</t>
  </si>
  <si>
    <t>805574</t>
  </si>
  <si>
    <t>автоподъезд к п. Комсомольский от автомобильной дороги "Новые Бурасы - Кутьино - Вязьмино - Петровск"</t>
  </si>
  <si>
    <t>805610</t>
  </si>
  <si>
    <t>автоподъезд к с. Алексашкино от автомобильной дороги "Урбах - Ждановка - Новоузенск - Александров Гай"</t>
  </si>
  <si>
    <t>805783</t>
  </si>
  <si>
    <t>автомобильная дорога "Питерка - Нива"</t>
  </si>
  <si>
    <t>805502</t>
  </si>
  <si>
    <t>автоподъезд к ст. Питерка (ж/д вокзал) от автомобильной дороги "Питерка - Нива"</t>
  </si>
  <si>
    <t>805727</t>
  </si>
  <si>
    <t>автоподъезд к с. Агафоновка от автомобильной дороги "Питерка - Нива"</t>
  </si>
  <si>
    <t>805666</t>
  </si>
  <si>
    <t>автоподъезд к с. Малый Узень от автомобильной дороги "Питерка - Нива"</t>
  </si>
  <si>
    <t>805784</t>
  </si>
  <si>
    <t>автоподъезд к с. Запрудное от автомобильной дороги "Питерка - Нива"</t>
  </si>
  <si>
    <t>805448</t>
  </si>
  <si>
    <t>автомобильная дорога "Клинцовка - Жестянка"</t>
  </si>
  <si>
    <t>805503</t>
  </si>
  <si>
    <t>автомобильная дорога "Жестянка - Бобровка"</t>
  </si>
  <si>
    <t>805450</t>
  </si>
  <si>
    <t>автоподъезд к дому отдыха "Пугачевский" от автомобильной дороги "Пугачев - Перелюб"</t>
  </si>
  <si>
    <t>805668</t>
  </si>
  <si>
    <t>автоподъезд к с. Старая Порубежка от автомобильной дороги "Пугачев - Перелюб"</t>
  </si>
  <si>
    <t>805785</t>
  </si>
  <si>
    <t>автоподъезд к с. Преображенка от автомобильной дороги "Самара - Пугачев - Энгельс - Волгоград"</t>
  </si>
  <si>
    <t>805557</t>
  </si>
  <si>
    <t>автоподъезд к п. Заволжский от автомобильной дороги "Самара - Пугачев - Энгельс - Волгоград"</t>
  </si>
  <si>
    <t>805786</t>
  </si>
  <si>
    <t>автоподъезд к с. Березово от автомобильной дороги "Самара - Пугачев - Энгельс - Волгоград"</t>
  </si>
  <si>
    <t>805558</t>
  </si>
  <si>
    <t>автоподъезд к п. Серебряный Бор от автомобильной дороги "Самара - Пугачев - Энгельс - Волгоград" на участке км 0 + 000 - км 2 + 825</t>
  </si>
  <si>
    <t>805611</t>
  </si>
  <si>
    <t>автоподъезд к с. Новокаменка - с. Кривояр от автомобильной дороги "Самара - Пугачев - Энгельс - Волгоград"</t>
  </si>
  <si>
    <t>805787</t>
  </si>
  <si>
    <t>обход р.п. Романовка</t>
  </si>
  <si>
    <t>805559</t>
  </si>
  <si>
    <t>автомобильная дорога "Красноармейский - Инясево", на участке км 0 + 000 - км 20 + 400</t>
  </si>
  <si>
    <t>805789</t>
  </si>
  <si>
    <t>автомобильная дорога "Романовка - Большой Карай"</t>
  </si>
  <si>
    <t>805788</t>
  </si>
  <si>
    <t>автомобильная дорога "Мосоловка - Малое Щербедино"</t>
  </si>
  <si>
    <t>805730</t>
  </si>
  <si>
    <t>автоподъезд к с. Красная Звезда от автомобильной дороги "Тамбов - Ртищево - Саратов"</t>
  </si>
  <si>
    <t>805731</t>
  </si>
  <si>
    <t>автоподъезд к с. Макарово от автомобильной дороги "Тамбов - Ртищево - Саратов"</t>
  </si>
  <si>
    <t>805560</t>
  </si>
  <si>
    <t>автоподъезд к с. Чиганак от автомобильной дороги "Тамбов - Ртищево - Саратов"</t>
  </si>
  <si>
    <t>805613</t>
  </si>
  <si>
    <t>автоподъезд к с. Крутец от автомобильной дороги "Тамбов - Ртищево - Саратов"</t>
  </si>
  <si>
    <t>805561</t>
  </si>
  <si>
    <t>автомобильная дорога "Красная Звезда - Скачиха - Ободной" на участке км 0+450 - км 8+405</t>
  </si>
  <si>
    <t>805857</t>
  </si>
  <si>
    <t>автоподъезд к п. Ртищевский от автомобильной дороги "Ртищево - Правда"</t>
  </si>
  <si>
    <t>805791</t>
  </si>
  <si>
    <t>автомобильная дорога "Ртищево - Правда - Сердобск (Пензенская область)" в пределах района</t>
  </si>
  <si>
    <t>805732</t>
  </si>
  <si>
    <t>автомобильная дорога "Крутец - Салтыковка - Елань - Первомайский" на участке км 0+00 - км 4+470</t>
  </si>
  <si>
    <t>805615</t>
  </si>
  <si>
    <t>автоподъезд к п. Темп от автомобильной дороги "Ртищево - Правда"</t>
  </si>
  <si>
    <t>805670</t>
  </si>
  <si>
    <t>автомобильная дорога "Ртищево - Стройиндустрия"</t>
  </si>
  <si>
    <t>805562</t>
  </si>
  <si>
    <t>автомобильная дорога "Самойловка - Хрущевка" на участке км 3 + 688 - км 25 + 464</t>
  </si>
  <si>
    <t>805520</t>
  </si>
  <si>
    <t>автоподъезд к с. Благовещенка от автомобильной дороги "р.п. Самойловка - с. Казачка"</t>
  </si>
  <si>
    <t>автоподъезд к с. Благовещенка от автомобильной дороги "Самойловка - Казачка" (в пределах района)</t>
  </si>
  <si>
    <t>805712</t>
  </si>
  <si>
    <t>автоподъезд к с. Калининское от автомобильной дороги "Р-22 "Каспий" автомобильная дорога М-4 "Дон" - Тамбов - Волгоград - Астрахань, подъезд к г. Саратов"</t>
  </si>
  <si>
    <t>805792</t>
  </si>
  <si>
    <t>автоподъезд к с. Песчанка от автомобильной дороги "Самойловка - Казачка"</t>
  </si>
  <si>
    <t>805858</t>
  </si>
  <si>
    <t>автомобильная дорога "Самойловка - Благовещенка" на участке км 1 + 144 - км 17 + 351</t>
  </si>
  <si>
    <t>805874</t>
  </si>
  <si>
    <t>автоподъезд к с. Святославка от автомобильной дороги "Р-22 "Каспий" автомобильная дорога М-4 "Дон" - Тамбов - Волгоград - Астрахань, подъезд к г. Саратов" (в пределах района)</t>
  </si>
  <si>
    <t>805859</t>
  </si>
  <si>
    <t>автоподъезд к с. Святославка от автомобильной дороги "Ольшанка - Полоцкое"</t>
  </si>
  <si>
    <t>805563</t>
  </si>
  <si>
    <t>автомобильная дорога "Самойловка - Терновое (Волгоградская область)" (в пределах района)</t>
  </si>
  <si>
    <t>805564</t>
  </si>
  <si>
    <t>автомобильная дорога "Ольшанка - Еловатка"</t>
  </si>
  <si>
    <t>805733</t>
  </si>
  <si>
    <t>автомобильная дорога "Святославка - Краснознаменский"</t>
  </si>
  <si>
    <t>805794</t>
  </si>
  <si>
    <t>автоподъезд к с. Рыбушка - п. центральная усадьба совхоза "15 лет Октября" на участке км 0+000 - км 24+515</t>
  </si>
  <si>
    <t>805617</t>
  </si>
  <si>
    <t>автомобильная дорога "Шевыревка - Сабуровка"</t>
  </si>
  <si>
    <t>805734</t>
  </si>
  <si>
    <t>автомобильная дорога "Саратов - Малая Скатовка"</t>
  </si>
  <si>
    <t>805862</t>
  </si>
  <si>
    <t>автоподъезд к р.п. Пушкино от автомобильной дороги "А-298 автомобильная дорога Р-228 "Сызрань - Саратов - Волгоград" - Пристанное - Ершов - Озинки - граница с Республикой Казахстан"</t>
  </si>
  <si>
    <t>805567</t>
  </si>
  <si>
    <t>автоподъезд к с. Новокривовка от автомобильной дороги "А-298 автомобильная дорога Р-228 "Сызрань - Саратов - Волгоград" - Пристанное - Ершов - Озинки - граница с Республикой Казахстан"</t>
  </si>
  <si>
    <t>805618</t>
  </si>
  <si>
    <t>автоподъезд к с. Розовое от автомобильной дороги "А-298 автомобильная дорога Р-228 "Сызрань - Саратов - Волгоград" - Пристанное - Ершов - Озинки - граница с Республикой Казахстан"</t>
  </si>
  <si>
    <t>805735</t>
  </si>
  <si>
    <t>автоподъезд к ст. Наливная от автомобильной дороги "А-298 автомобильная дорога Р-228 "Сызрань - Саратов - Волгоград" - Пристанное - Ершов - Озинки - граница с Республикой Казахстан"</t>
  </si>
  <si>
    <t>805736</t>
  </si>
  <si>
    <t>автоподъезд к с. Александровка от автоподъезда к с. Розовое от автомобильной дороги "А-298 автомобильная дорога Р-228 "Сызрань - Саратов - Волгоград" - Пристанное - Ершов - Озинки - граница с Республикой Казахстан"</t>
  </si>
  <si>
    <t>805621</t>
  </si>
  <si>
    <t>автомобильная дорога "Вязовка - Сокур" на участке км 0+000 - км 3+850</t>
  </si>
  <si>
    <t>805796</t>
  </si>
  <si>
    <t>автомобильная дорога "Татищево - Идолга - Слепцовка" на участке км 2+430 - км 6+000</t>
  </si>
  <si>
    <t>805797</t>
  </si>
  <si>
    <t>автоподъезд к с. Большая Ивановка от автомобильной дороги "Р-158 "Нижний Новгород - Арзамас - Саранск - Исса - Пенза - Саратов"</t>
  </si>
  <si>
    <t>805456</t>
  </si>
  <si>
    <t>автоподъезд к с. Вязовка от автомобильной дороги "Р-158 "Нижний Новгород - Арзамас - Саранск - Исса - Пенза - Саратов"</t>
  </si>
  <si>
    <t>805674</t>
  </si>
  <si>
    <t>автоподъезд к с. Идолга от автомобильной дороги "Р-158 "Нижний Новгород - Арзамас - Саранск - Исса - Пенза - Саратов"</t>
  </si>
  <si>
    <t>805675</t>
  </si>
  <si>
    <t>805622</t>
  </si>
  <si>
    <t>автоподъезд к с. Карамышка - с. Куликовка от автомобильной дороги "Тамбов - Ртищево - Саратов" на участке км 0+000 - км 0+420</t>
  </si>
  <si>
    <t>805863</t>
  </si>
  <si>
    <t>автоподъезд к р.п. Татищево от автомобильной дороги "Тамбов - Ртищево - Саратов"</t>
  </si>
  <si>
    <t>805505</t>
  </si>
  <si>
    <t>автоподъезд к ст. Кологривовка - д. Полянское от автомобильной дороги "Тамбов - Ртищево - Саратов" на участке км 0+000 - км 7+715</t>
  </si>
  <si>
    <t>805457</t>
  </si>
  <si>
    <t>автомобильная дорога "Бороно-Михайловка - Дмитриевка - Перевесино-Михайловка"</t>
  </si>
  <si>
    <t>805568</t>
  </si>
  <si>
    <t>автомобильная дорога "Турки - Лунино - Марьино"</t>
  </si>
  <si>
    <t>805623</t>
  </si>
  <si>
    <t>автоподъезд к с. Чернавка от автомобильной дороги "Турки - Лунино - Марьино"</t>
  </si>
  <si>
    <t>805569</t>
  </si>
  <si>
    <t>автомобильная дорога "Каменка - Рязанка"</t>
  </si>
  <si>
    <t>805864</t>
  </si>
  <si>
    <t>автомобильная дорога "Турки - Перевесинка"</t>
  </si>
  <si>
    <t>805570</t>
  </si>
  <si>
    <t>автоподъезд к с. Студенка от автомобильной дороги "Каменка - Рязанка"</t>
  </si>
  <si>
    <t>805676</t>
  </si>
  <si>
    <t>автоподъезд к р.п. Мокроус от автомобильной дороги "А-298 автомобильная дорога Р-228 "Сызрань - Саратов - Волгоград" - Пристанное - Ершов - Озинки - граница с Республикой Казахстан"</t>
  </si>
  <si>
    <t>805458</t>
  </si>
  <si>
    <t>автоподъезд к п. Еруслан от автомобильной дороги "А-298 автомобильная дорога Р-228 "Сызрань - Саратов - Волгоград" - Пристанное - Ершов - Озинки - граница с Республикой Казахстан"</t>
  </si>
  <si>
    <t>805737</t>
  </si>
  <si>
    <t>автоподъезд к с. Спартак от автомобильной дороги "А-298 автомобильная дорога Р-228 Сызрань - Саратов - Волгоград" - Пристанное - Ершов - Озинки - граница с Республикой Казахстан"</t>
  </si>
  <si>
    <t>805798</t>
  </si>
  <si>
    <t>автоподъезд к с. Мунино от автомобильной дороги "А-298 автомобильная дорога Р-228 "Сызрань - Саратов - Волгоград" - Пристанное - Ершов - Озинки - граница с Республикой Казахстан"</t>
  </si>
  <si>
    <t>805506</t>
  </si>
  <si>
    <t>автоподъезд к с. Плес - с. Морцы от автомобильной дороги "А-298 автомобильная дорога Р-228 "Сызрань - Саратов - Волгоград" - Пристанное - Ершов - Озинки - граница с Республикой Казахстан"</t>
  </si>
  <si>
    <t>805677</t>
  </si>
  <si>
    <t>автомобильная дорога "Мокроус - Семеновка - Калдино"</t>
  </si>
  <si>
    <t>805571</t>
  </si>
  <si>
    <t>автомобильная дорога "Федоровка - Романовка - Тамбовка"</t>
  </si>
  <si>
    <t>805738</t>
  </si>
  <si>
    <t>автомобильная дорога "Федоровка - Воскресенка" на участке км 0+000 - км 1+017</t>
  </si>
  <si>
    <t>805507</t>
  </si>
  <si>
    <t>автомобильная дорога "Плес - Солнечный"</t>
  </si>
  <si>
    <t>805865</t>
  </si>
  <si>
    <t>автомобильная дорога "Семеновка - Борисоглебовка"</t>
  </si>
  <si>
    <t>805624</t>
  </si>
  <si>
    <t>автоподъезд к п. Возрождение - с. Благодатное от автомобильной дороги "Р-228 "Сызрань - Саратов - Волгоград"</t>
  </si>
  <si>
    <t>805460</t>
  </si>
  <si>
    <t>автоподъезд к с. Черный Затон от автомобильной дороги "Р-228 "Сызрань - Саратов - Волгоград"</t>
  </si>
  <si>
    <t>805866</t>
  </si>
  <si>
    <t>автоподъезд к с. Селитьба от автомобильной дороги "Р-228 "Сызрань - Саратов - Волгоград"</t>
  </si>
  <si>
    <t>805740</t>
  </si>
  <si>
    <t>автомобильная дорога "Хвалынск - Сосновая Маза - Акатная Маза"</t>
  </si>
  <si>
    <t>805678</t>
  </si>
  <si>
    <t>автоподъезд к с. Ульянино от автомобильной дороги "Хвалынск - Сосновая Маза - Акатная Маза"</t>
  </si>
  <si>
    <t>805509</t>
  </si>
  <si>
    <t>автомобильная дорога "Горюши - автоподъезд к с. Елшанка - с. Поповка - с. Старая Лебежайка" от автомобильной дороги "Р-228 "Сызрань - Саратов - Волгоград"</t>
  </si>
  <si>
    <t>805799</t>
  </si>
  <si>
    <t>автомобильная дорога "Северный - ж/д ст. Возрождение"</t>
  </si>
  <si>
    <t>805679</t>
  </si>
  <si>
    <t>автоподъезд к месту приземления Гагарина от автомобильной дороги "Самара - Пугачев - Энгельс - Волгоград</t>
  </si>
  <si>
    <t>805681</t>
  </si>
  <si>
    <t>автомобильная дорога "Березовка - Зауморье"</t>
  </si>
  <si>
    <t>805511</t>
  </si>
  <si>
    <t>автоподъезд к п. Коминтерн от автомобильной дороги "А-298 автомобильная дорога Р-228 "Сызрань - Саратов - Волгоград" - Пристанное - Ершов - Озинки - граница с Республикой Казахстан"</t>
  </si>
  <si>
    <t>805513</t>
  </si>
  <si>
    <t>автоподъезд к с. Кирово от автомобильной дороги "А-298 автомобильная дорога Р-228 "Сызрань - Саратов - Волгоград" - Пристанное - Ершов - Озинки - граница с Республикой Казахстан"</t>
  </si>
  <si>
    <t>805869</t>
  </si>
  <si>
    <t>автоподъезд к с. Безымянное от автоподъезда к с. Кирово от автомобильной дороги "А-298 автомобильная дорога Р-228 "Сызрань - Саратов - Волгоград" - Пристанное - Ершов - Озинки - граница с Республикой Казахстан"</t>
  </si>
  <si>
    <t>805801</t>
  </si>
  <si>
    <t>автоподъезд к с. Воскресенка от автоподъезда к с. Кирово от автомобильной дороги "А-298 автомобильная дорога Р-228 "Сызрань - Саратов - Волгоград" - Пристанное - Ершов - Озинки - граница с Республикой Казахстан"</t>
  </si>
  <si>
    <t>805682</t>
  </si>
  <si>
    <t>автоподъезд к п. Новопушкинское от автоподъезда к с. Квасниковка от автомобильной дороги "А-298 автомобильная дорога Р-228 "Сызрань - Саратов - Волгоград" - Пристанное - Ершов - Озинки - граница с Республикой Казахстан"</t>
  </si>
  <si>
    <t>805719</t>
  </si>
  <si>
    <t>автоподъезд к ДРСУ от автомобильной дороги "Самара - Пугачев - Энгельс - Волгоград"</t>
  </si>
  <si>
    <t>805749</t>
  </si>
  <si>
    <t>автоподъезд к с. Чардым от автомобильной дороги "Р-228 "Сызрань - Саратов - Волгоград"</t>
  </si>
  <si>
    <t>805626</t>
  </si>
  <si>
    <t>автомобильная дорога Энгельс-Ершов - Озинки - граница с Республикой Казахстан</t>
  </si>
  <si>
    <t>2</t>
  </si>
  <si>
    <t>3</t>
  </si>
  <si>
    <t>Автомобильные дороги местного значения (улицы) г. Саратов</t>
  </si>
  <si>
    <t>77</t>
  </si>
  <si>
    <t>2795038</t>
  </si>
  <si>
    <t>78</t>
  </si>
  <si>
    <t>739444</t>
  </si>
  <si>
    <t>79</t>
  </si>
  <si>
    <t>80</t>
  </si>
  <si>
    <t>81</t>
  </si>
  <si>
    <t>749877</t>
  </si>
  <si>
    <t>82</t>
  </si>
  <si>
    <t>745038</t>
  </si>
  <si>
    <t>83</t>
  </si>
  <si>
    <t>738433</t>
  </si>
  <si>
    <t>84</t>
  </si>
  <si>
    <t>736045</t>
  </si>
  <si>
    <t>85</t>
  </si>
  <si>
    <t>741840</t>
  </si>
  <si>
    <t>86</t>
  </si>
  <si>
    <t>87</t>
  </si>
  <si>
    <t>737882</t>
  </si>
  <si>
    <t>88</t>
  </si>
  <si>
    <t>89</t>
  </si>
  <si>
    <t>2795117</t>
  </si>
  <si>
    <t>90</t>
  </si>
  <si>
    <t>737857</t>
  </si>
  <si>
    <t>91</t>
  </si>
  <si>
    <t>92</t>
  </si>
  <si>
    <t>93</t>
  </si>
  <si>
    <t>740829</t>
  </si>
  <si>
    <t>94</t>
  </si>
  <si>
    <t>95</t>
  </si>
  <si>
    <t>96</t>
  </si>
  <si>
    <t>738775</t>
  </si>
  <si>
    <t>97</t>
  </si>
  <si>
    <t>742363</t>
  </si>
  <si>
    <t>98</t>
  </si>
  <si>
    <t>742702</t>
  </si>
  <si>
    <t>99</t>
  </si>
  <si>
    <t>739567</t>
  </si>
  <si>
    <t>100</t>
  </si>
  <si>
    <t>101</t>
  </si>
  <si>
    <t>736828</t>
  </si>
  <si>
    <t>102</t>
  </si>
  <si>
    <t>2795187</t>
  </si>
  <si>
    <t>103</t>
  </si>
  <si>
    <t>736720</t>
  </si>
  <si>
    <t>104</t>
  </si>
  <si>
    <t>740244</t>
  </si>
  <si>
    <t>105</t>
  </si>
  <si>
    <t>749939</t>
  </si>
  <si>
    <t>106</t>
  </si>
  <si>
    <t>107</t>
  </si>
  <si>
    <t>108</t>
  </si>
  <si>
    <t>736059</t>
  </si>
  <si>
    <t>109</t>
  </si>
  <si>
    <t>737844</t>
  </si>
  <si>
    <t>110</t>
  </si>
  <si>
    <t>740520</t>
  </si>
  <si>
    <t>111</t>
  </si>
  <si>
    <t>112</t>
  </si>
  <si>
    <t>739415</t>
  </si>
  <si>
    <t>113</t>
  </si>
  <si>
    <t>749849</t>
  </si>
  <si>
    <t>114</t>
  </si>
  <si>
    <t>739443</t>
  </si>
  <si>
    <t>115</t>
  </si>
  <si>
    <t>742735</t>
  </si>
  <si>
    <t>116</t>
  </si>
  <si>
    <t>737839</t>
  </si>
  <si>
    <t>117</t>
  </si>
  <si>
    <t>735997</t>
  </si>
  <si>
    <t>118</t>
  </si>
  <si>
    <t>737919</t>
  </si>
  <si>
    <t>119</t>
  </si>
  <si>
    <t>739578</t>
  </si>
  <si>
    <t>120</t>
  </si>
  <si>
    <t>742732</t>
  </si>
  <si>
    <t>121</t>
  </si>
  <si>
    <t>736173</t>
  </si>
  <si>
    <t>122</t>
  </si>
  <si>
    <t>740109</t>
  </si>
  <si>
    <t>123</t>
  </si>
  <si>
    <t>749705</t>
  </si>
  <si>
    <t>124</t>
  </si>
  <si>
    <t>740565</t>
  </si>
  <si>
    <t>125</t>
  </si>
  <si>
    <t>735096</t>
  </si>
  <si>
    <t>126</t>
  </si>
  <si>
    <t>127</t>
  </si>
  <si>
    <t>739026</t>
  </si>
  <si>
    <t>128</t>
  </si>
  <si>
    <t>129</t>
  </si>
  <si>
    <t>744948</t>
  </si>
  <si>
    <t>130</t>
  </si>
  <si>
    <t>742694</t>
  </si>
  <si>
    <t>131</t>
  </si>
  <si>
    <t>739725</t>
  </si>
  <si>
    <t>132</t>
  </si>
  <si>
    <t>739006</t>
  </si>
  <si>
    <t>133</t>
  </si>
  <si>
    <t>742709</t>
  </si>
  <si>
    <t>134</t>
  </si>
  <si>
    <t>738331</t>
  </si>
  <si>
    <t>135</t>
  </si>
  <si>
    <t>744931</t>
  </si>
  <si>
    <t>136</t>
  </si>
  <si>
    <t>742058</t>
  </si>
  <si>
    <t>137</t>
  </si>
  <si>
    <t>739666</t>
  </si>
  <si>
    <t>138</t>
  </si>
  <si>
    <t>738873</t>
  </si>
  <si>
    <t>139</t>
  </si>
  <si>
    <t>738434</t>
  </si>
  <si>
    <t>140</t>
  </si>
  <si>
    <t>141</t>
  </si>
  <si>
    <t>738983</t>
  </si>
  <si>
    <t>142</t>
  </si>
  <si>
    <t>738985</t>
  </si>
  <si>
    <t>143</t>
  </si>
  <si>
    <t>738774</t>
  </si>
  <si>
    <t>144</t>
  </si>
  <si>
    <t>739428</t>
  </si>
  <si>
    <t>145</t>
  </si>
  <si>
    <t>146</t>
  </si>
  <si>
    <t>147</t>
  </si>
  <si>
    <t>148</t>
  </si>
  <si>
    <t>738982</t>
  </si>
  <si>
    <t>149</t>
  </si>
  <si>
    <t>150</t>
  </si>
  <si>
    <t>151</t>
  </si>
  <si>
    <t>152</t>
  </si>
  <si>
    <t>742262</t>
  </si>
  <si>
    <t>153</t>
  </si>
  <si>
    <t>154</t>
  </si>
  <si>
    <t>155</t>
  </si>
  <si>
    <t>742663</t>
  </si>
  <si>
    <t>156</t>
  </si>
  <si>
    <t>157</t>
  </si>
  <si>
    <t>158</t>
  </si>
  <si>
    <t>740212</t>
  </si>
  <si>
    <t>159</t>
  </si>
  <si>
    <t>736845</t>
  </si>
  <si>
    <t>160</t>
  </si>
  <si>
    <t>739028</t>
  </si>
  <si>
    <t>161</t>
  </si>
  <si>
    <t>162</t>
  </si>
  <si>
    <t>737302</t>
  </si>
  <si>
    <t>163</t>
  </si>
  <si>
    <t>164</t>
  </si>
  <si>
    <t>165</t>
  </si>
  <si>
    <t>166</t>
  </si>
  <si>
    <t>167</t>
  </si>
  <si>
    <t>742340</t>
  </si>
  <si>
    <t>168</t>
  </si>
  <si>
    <t>745125</t>
  </si>
  <si>
    <t>169</t>
  </si>
  <si>
    <t>740634</t>
  </si>
  <si>
    <t>170</t>
  </si>
  <si>
    <t>171</t>
  </si>
  <si>
    <t>172</t>
  </si>
  <si>
    <t>173</t>
  </si>
  <si>
    <t>735941</t>
  </si>
  <si>
    <t>174</t>
  </si>
  <si>
    <t>175</t>
  </si>
  <si>
    <t>742995</t>
  </si>
  <si>
    <t>176</t>
  </si>
  <si>
    <t>740686</t>
  </si>
  <si>
    <t>177</t>
  </si>
  <si>
    <t>736904</t>
  </si>
  <si>
    <t>178</t>
  </si>
  <si>
    <t>738326</t>
  </si>
  <si>
    <t>179</t>
  </si>
  <si>
    <t>742600</t>
  </si>
  <si>
    <t>180</t>
  </si>
  <si>
    <t>737937</t>
  </si>
  <si>
    <t>181</t>
  </si>
  <si>
    <t>735095</t>
  </si>
  <si>
    <t>182</t>
  </si>
  <si>
    <t>183</t>
  </si>
  <si>
    <t>184</t>
  </si>
  <si>
    <t>735947</t>
  </si>
  <si>
    <t>185</t>
  </si>
  <si>
    <t>186</t>
  </si>
  <si>
    <t>187</t>
  </si>
  <si>
    <t>737964</t>
  </si>
  <si>
    <t>188</t>
  </si>
  <si>
    <t>742760</t>
  </si>
  <si>
    <t>189</t>
  </si>
  <si>
    <t>736033</t>
  </si>
  <si>
    <t>190</t>
  </si>
  <si>
    <t>739009</t>
  </si>
  <si>
    <t>191</t>
  </si>
  <si>
    <t>749471</t>
  </si>
  <si>
    <t>192</t>
  </si>
  <si>
    <t>742217</t>
  </si>
  <si>
    <t>193</t>
  </si>
  <si>
    <t>194</t>
  </si>
  <si>
    <t>740173</t>
  </si>
  <si>
    <t>195</t>
  </si>
  <si>
    <t>745264</t>
  </si>
  <si>
    <t>196</t>
  </si>
  <si>
    <t>737849</t>
  </si>
  <si>
    <t>197</t>
  </si>
  <si>
    <t>198</t>
  </si>
  <si>
    <t>738703</t>
  </si>
  <si>
    <t>199</t>
  </si>
  <si>
    <t>735660</t>
  </si>
  <si>
    <t>200</t>
  </si>
  <si>
    <t>736058</t>
  </si>
  <si>
    <t>201</t>
  </si>
  <si>
    <t>202</t>
  </si>
  <si>
    <t>736263</t>
  </si>
  <si>
    <t>203</t>
  </si>
  <si>
    <t>742757</t>
  </si>
  <si>
    <t>204</t>
  </si>
  <si>
    <t>744953</t>
  </si>
  <si>
    <t>205</t>
  </si>
  <si>
    <t>737498</t>
  </si>
  <si>
    <t>206</t>
  </si>
  <si>
    <t>742358</t>
  </si>
  <si>
    <t>207</t>
  </si>
  <si>
    <t>735123</t>
  </si>
  <si>
    <t>208</t>
  </si>
  <si>
    <t>736506</t>
  </si>
  <si>
    <t>209</t>
  </si>
  <si>
    <t>210</t>
  </si>
  <si>
    <t>737440</t>
  </si>
  <si>
    <t>211</t>
  </si>
  <si>
    <t>739499</t>
  </si>
  <si>
    <t>212</t>
  </si>
  <si>
    <t>213</t>
  </si>
  <si>
    <t>214</t>
  </si>
  <si>
    <t>749485</t>
  </si>
  <si>
    <t>215</t>
  </si>
  <si>
    <t>739758</t>
  </si>
  <si>
    <t>216</t>
  </si>
  <si>
    <t>217</t>
  </si>
  <si>
    <t>218</t>
  </si>
  <si>
    <t>2795167</t>
  </si>
  <si>
    <t>219</t>
  </si>
  <si>
    <t>2795156</t>
  </si>
  <si>
    <t>220</t>
  </si>
  <si>
    <t>2795145</t>
  </si>
  <si>
    <t>221</t>
  </si>
  <si>
    <t>742401</t>
  </si>
  <si>
    <t>222</t>
  </si>
  <si>
    <t>2795185</t>
  </si>
  <si>
    <t>223</t>
  </si>
  <si>
    <t>737957</t>
  </si>
  <si>
    <t>224</t>
  </si>
  <si>
    <t>740193</t>
  </si>
  <si>
    <t>225</t>
  </si>
  <si>
    <t>736758</t>
  </si>
  <si>
    <t>226</t>
  </si>
  <si>
    <t>2795064</t>
  </si>
  <si>
    <t>227</t>
  </si>
  <si>
    <t>738334</t>
  </si>
  <si>
    <t>228</t>
  </si>
  <si>
    <t>738891</t>
  </si>
  <si>
    <t>229</t>
  </si>
  <si>
    <t>735094</t>
  </si>
  <si>
    <t>230</t>
  </si>
  <si>
    <t>749709</t>
  </si>
  <si>
    <t>231</t>
  </si>
  <si>
    <t>738858</t>
  </si>
  <si>
    <t>232</t>
  </si>
  <si>
    <t>738916</t>
  </si>
  <si>
    <t>233</t>
  </si>
  <si>
    <t>739029</t>
  </si>
  <si>
    <t>234</t>
  </si>
  <si>
    <t>737838</t>
  </si>
  <si>
    <t>235</t>
  </si>
  <si>
    <t>735940</t>
  </si>
  <si>
    <t>236</t>
  </si>
  <si>
    <t>2795142</t>
  </si>
  <si>
    <t>237</t>
  </si>
  <si>
    <t>2795116</t>
  </si>
  <si>
    <t>238</t>
  </si>
  <si>
    <t>745183</t>
  </si>
  <si>
    <t>239</t>
  </si>
  <si>
    <t>737874</t>
  </si>
  <si>
    <t>240</t>
  </si>
  <si>
    <t>739789</t>
  </si>
  <si>
    <t>241</t>
  </si>
  <si>
    <t>738908</t>
  </si>
  <si>
    <t>243</t>
  </si>
  <si>
    <t>737873</t>
  </si>
  <si>
    <t>244</t>
  </si>
  <si>
    <t>741625</t>
  </si>
  <si>
    <t>245</t>
  </si>
  <si>
    <t>741744</t>
  </si>
  <si>
    <t>246</t>
  </si>
  <si>
    <t>247</t>
  </si>
  <si>
    <t>Ул. Новоузенская (от ул. Астраханской до ул. Вокзальной)</t>
  </si>
  <si>
    <t>248</t>
  </si>
  <si>
    <t>742998</t>
  </si>
  <si>
    <t>249</t>
  </si>
  <si>
    <t>250</t>
  </si>
  <si>
    <t>736137</t>
  </si>
  <si>
    <t>251</t>
  </si>
  <si>
    <t>2795118</t>
  </si>
  <si>
    <t>252</t>
  </si>
  <si>
    <t>740222</t>
  </si>
  <si>
    <t>253</t>
  </si>
  <si>
    <t>745233</t>
  </si>
  <si>
    <t>254</t>
  </si>
  <si>
    <t>2795070</t>
  </si>
  <si>
    <t>255</t>
  </si>
  <si>
    <t>2795170</t>
  </si>
  <si>
    <t>256</t>
  </si>
  <si>
    <t>2795177</t>
  </si>
  <si>
    <t>257</t>
  </si>
  <si>
    <t>740255</t>
  </si>
  <si>
    <t>258</t>
  </si>
  <si>
    <t>736211</t>
  </si>
  <si>
    <t>259</t>
  </si>
  <si>
    <t>2795026</t>
  </si>
  <si>
    <t>260</t>
  </si>
  <si>
    <t>739542</t>
  </si>
  <si>
    <t>261</t>
  </si>
  <si>
    <t>2795020</t>
  </si>
  <si>
    <t>262</t>
  </si>
  <si>
    <t>742219</t>
  </si>
  <si>
    <t>263</t>
  </si>
  <si>
    <t>742224</t>
  </si>
  <si>
    <t>264</t>
  </si>
  <si>
    <t>739426</t>
  </si>
  <si>
    <t>265</t>
  </si>
  <si>
    <t>735563</t>
  </si>
  <si>
    <t>266</t>
  </si>
  <si>
    <t>740191</t>
  </si>
  <si>
    <t>267</t>
  </si>
  <si>
    <t>735090</t>
  </si>
  <si>
    <t>268</t>
  </si>
  <si>
    <t>739025</t>
  </si>
  <si>
    <t>269</t>
  </si>
  <si>
    <t>749438</t>
  </si>
  <si>
    <t>270</t>
  </si>
  <si>
    <t>738911</t>
  </si>
  <si>
    <t>271</t>
  </si>
  <si>
    <t>272</t>
  </si>
  <si>
    <t>736223</t>
  </si>
  <si>
    <t>273</t>
  </si>
  <si>
    <t>736056</t>
  </si>
  <si>
    <t xml:space="preserve"> ул. Миллеровская (от 5-го Динамовского пр. до 11-го Динамовского пр.) </t>
  </si>
  <si>
    <t>274</t>
  </si>
  <si>
    <t>275</t>
  </si>
  <si>
    <t>739414</t>
  </si>
  <si>
    <t>276</t>
  </si>
  <si>
    <t>736098</t>
  </si>
  <si>
    <t>277</t>
  </si>
  <si>
    <t>737468</t>
  </si>
  <si>
    <t>278</t>
  </si>
  <si>
    <t>279</t>
  </si>
  <si>
    <t>280</t>
  </si>
  <si>
    <t>742737</t>
  </si>
  <si>
    <t>281</t>
  </si>
  <si>
    <t>735817</t>
  </si>
  <si>
    <t>282</t>
  </si>
  <si>
    <t>283</t>
  </si>
  <si>
    <t>745188</t>
  </si>
  <si>
    <t>284</t>
  </si>
  <si>
    <t>742595</t>
  </si>
  <si>
    <t>285</t>
  </si>
  <si>
    <t>736132</t>
  </si>
  <si>
    <t>286</t>
  </si>
  <si>
    <t>287</t>
  </si>
  <si>
    <t>743049</t>
  </si>
  <si>
    <t>288</t>
  </si>
  <si>
    <t>740097</t>
  </si>
  <si>
    <t>289</t>
  </si>
  <si>
    <t>290</t>
  </si>
  <si>
    <t>737531</t>
  </si>
  <si>
    <t>291</t>
  </si>
  <si>
    <t>740217</t>
  </si>
  <si>
    <t>292</t>
  </si>
  <si>
    <t>293</t>
  </si>
  <si>
    <t>737894</t>
  </si>
  <si>
    <t>294</t>
  </si>
  <si>
    <t>740112</t>
  </si>
  <si>
    <t>295</t>
  </si>
  <si>
    <t>742355</t>
  </si>
  <si>
    <t>296</t>
  </si>
  <si>
    <t>297</t>
  </si>
  <si>
    <t>740218</t>
  </si>
  <si>
    <t>298</t>
  </si>
  <si>
    <t>735771</t>
  </si>
  <si>
    <t>299</t>
  </si>
  <si>
    <t>736036</t>
  </si>
  <si>
    <t>300</t>
  </si>
  <si>
    <t>735153</t>
  </si>
  <si>
    <t>301</t>
  </si>
  <si>
    <t>739690</t>
  </si>
  <si>
    <t>302</t>
  </si>
  <si>
    <t>745052</t>
  </si>
  <si>
    <t>303</t>
  </si>
  <si>
    <t>734698</t>
  </si>
  <si>
    <t>304</t>
  </si>
  <si>
    <t>2795039</t>
  </si>
  <si>
    <t>305</t>
  </si>
  <si>
    <t>736840</t>
  </si>
  <si>
    <t>306</t>
  </si>
  <si>
    <t>739023</t>
  </si>
  <si>
    <t>307</t>
  </si>
  <si>
    <t>742046</t>
  </si>
  <si>
    <t>308</t>
  </si>
  <si>
    <t>309</t>
  </si>
  <si>
    <t>736814</t>
  </si>
  <si>
    <t>310</t>
  </si>
  <si>
    <t>745175</t>
  </si>
  <si>
    <t>311</t>
  </si>
  <si>
    <t>738325</t>
  </si>
  <si>
    <t>312</t>
  </si>
  <si>
    <t>743076</t>
  </si>
  <si>
    <t>313</t>
  </si>
  <si>
    <t>740139</t>
  </si>
  <si>
    <t>314</t>
  </si>
  <si>
    <t>315</t>
  </si>
  <si>
    <t>316</t>
  </si>
  <si>
    <t>317</t>
  </si>
  <si>
    <t>749698</t>
  </si>
  <si>
    <t>318</t>
  </si>
  <si>
    <t>736732</t>
  </si>
  <si>
    <t>319</t>
  </si>
  <si>
    <t>734689</t>
  </si>
  <si>
    <t>320</t>
  </si>
  <si>
    <t>321</t>
  </si>
  <si>
    <t>749483</t>
  </si>
  <si>
    <t>322</t>
  </si>
  <si>
    <t>745016</t>
  </si>
  <si>
    <t>323</t>
  </si>
  <si>
    <t>742034</t>
  </si>
  <si>
    <t>324</t>
  </si>
  <si>
    <t>738296</t>
  </si>
  <si>
    <t>325</t>
  </si>
  <si>
    <t>739008</t>
  </si>
  <si>
    <t>326</t>
  </si>
  <si>
    <t>751151</t>
  </si>
  <si>
    <t>327</t>
  </si>
  <si>
    <t>738457</t>
  </si>
  <si>
    <t>328</t>
  </si>
  <si>
    <t>329</t>
  </si>
  <si>
    <t>330</t>
  </si>
  <si>
    <t>331</t>
  </si>
  <si>
    <t>737541</t>
  </si>
  <si>
    <t>332</t>
  </si>
  <si>
    <t>742304</t>
  </si>
  <si>
    <t>333</t>
  </si>
  <si>
    <t>334</t>
  </si>
  <si>
    <t>335</t>
  </si>
  <si>
    <t>734691</t>
  </si>
  <si>
    <t>336</t>
  </si>
  <si>
    <t>337</t>
  </si>
  <si>
    <t>749458</t>
  </si>
  <si>
    <t>338</t>
  </si>
  <si>
    <t>339</t>
  </si>
  <si>
    <t>340</t>
  </si>
  <si>
    <t>341</t>
  </si>
  <si>
    <t>342</t>
  </si>
  <si>
    <t>343</t>
  </si>
  <si>
    <t>344</t>
  </si>
  <si>
    <t>345</t>
  </si>
  <si>
    <t>346</t>
  </si>
  <si>
    <t>347</t>
  </si>
  <si>
    <t>348</t>
  </si>
  <si>
    <t>349</t>
  </si>
  <si>
    <t>350</t>
  </si>
  <si>
    <t>351</t>
  </si>
  <si>
    <t>352</t>
  </si>
  <si>
    <t>353</t>
  </si>
  <si>
    <t>354</t>
  </si>
  <si>
    <t>355</t>
  </si>
  <si>
    <t>356</t>
  </si>
  <si>
    <t>357</t>
  </si>
  <si>
    <t>358</t>
  </si>
  <si>
    <t>359</t>
  </si>
  <si>
    <t>360</t>
  </si>
  <si>
    <t>361</t>
  </si>
  <si>
    <t>362</t>
  </si>
  <si>
    <t>363</t>
  </si>
  <si>
    <t>364</t>
  </si>
  <si>
    <t>365</t>
  </si>
  <si>
    <t>366</t>
  </si>
  <si>
    <t>367</t>
  </si>
  <si>
    <t>368</t>
  </si>
  <si>
    <t>369</t>
  </si>
  <si>
    <t>370</t>
  </si>
  <si>
    <t>371</t>
  </si>
  <si>
    <t>372</t>
  </si>
  <si>
    <t>373</t>
  </si>
  <si>
    <t>374</t>
  </si>
  <si>
    <t>375</t>
  </si>
  <si>
    <t>376</t>
  </si>
  <si>
    <t>377</t>
  </si>
  <si>
    <t>378</t>
  </si>
  <si>
    <t>379</t>
  </si>
  <si>
    <t>380</t>
  </si>
  <si>
    <t>381</t>
  </si>
  <si>
    <t>382</t>
  </si>
  <si>
    <t>383</t>
  </si>
  <si>
    <t>384</t>
  </si>
  <si>
    <t>385</t>
  </si>
  <si>
    <t>386</t>
  </si>
  <si>
    <t>387</t>
  </si>
  <si>
    <t>388</t>
  </si>
  <si>
    <t>389</t>
  </si>
  <si>
    <t>390</t>
  </si>
  <si>
    <t>391</t>
  </si>
  <si>
    <t>392</t>
  </si>
  <si>
    <t>393</t>
  </si>
  <si>
    <t>394</t>
  </si>
  <si>
    <t>395</t>
  </si>
  <si>
    <t>396</t>
  </si>
  <si>
    <t>397</t>
  </si>
  <si>
    <t>738879</t>
  </si>
  <si>
    <t>Автомобильные дороги местного значения (улицы) г. Энгельс</t>
  </si>
  <si>
    <t>ул. Степана Разина  (р.п. Приволжский)</t>
  </si>
  <si>
    <t>№ п/п</t>
  </si>
  <si>
    <t>Протяженность  автомобильной дороги (км)</t>
  </si>
  <si>
    <t>Данные об участке автомобильной дороги</t>
  </si>
  <si>
    <t>Протяженность участка (км)</t>
  </si>
  <si>
    <t>4+700</t>
  </si>
  <si>
    <t>2+800</t>
  </si>
  <si>
    <t>12+600</t>
  </si>
  <si>
    <t>5+300</t>
  </si>
  <si>
    <t>Х</t>
  </si>
  <si>
    <t>автомобильная дорога Комаровка - Асметовка</t>
  </si>
  <si>
    <t>4+555</t>
  </si>
  <si>
    <t>5+555</t>
  </si>
  <si>
    <t>16+600</t>
  </si>
  <si>
    <t>6+500</t>
  </si>
  <si>
    <t>8+410</t>
  </si>
  <si>
    <t>Общий итог</t>
  </si>
  <si>
    <t>Финансирование по Т4</t>
  </si>
  <si>
    <t>36+100</t>
  </si>
  <si>
    <t>49+300</t>
  </si>
  <si>
    <t>100+000</t>
  </si>
  <si>
    <t>14+780</t>
  </si>
  <si>
    <t>107+100</t>
  </si>
  <si>
    <t>0+350</t>
  </si>
  <si>
    <t>70+000</t>
  </si>
  <si>
    <t>70+700</t>
  </si>
  <si>
    <t>11+900</t>
  </si>
  <si>
    <t>25+000</t>
  </si>
  <si>
    <t>11+100</t>
  </si>
  <si>
    <t>61+052</t>
  </si>
  <si>
    <t>29+700</t>
  </si>
  <si>
    <t>50+170</t>
  </si>
  <si>
    <t>50+200</t>
  </si>
  <si>
    <t>82+900</t>
  </si>
  <si>
    <t>13+000</t>
  </si>
  <si>
    <t>47+000</t>
  </si>
  <si>
    <t>20+000</t>
  </si>
  <si>
    <t>1+000</t>
  </si>
  <si>
    <t>27+800</t>
  </si>
  <si>
    <t>40+00</t>
  </si>
  <si>
    <t>20+785</t>
  </si>
  <si>
    <t>16+900</t>
  </si>
  <si>
    <t>2+100</t>
  </si>
  <si>
    <t>5+480</t>
  </si>
  <si>
    <t>111+150</t>
  </si>
  <si>
    <t>150+000</t>
  </si>
  <si>
    <t>340+000</t>
  </si>
  <si>
    <t>185+000</t>
  </si>
  <si>
    <t>1+400</t>
  </si>
  <si>
    <t>1+100</t>
  </si>
  <si>
    <t>10+800</t>
  </si>
  <si>
    <t>0+200</t>
  </si>
  <si>
    <t>14+100</t>
  </si>
  <si>
    <t>3+900</t>
  </si>
  <si>
    <t>5+900</t>
  </si>
  <si>
    <t>35+400</t>
  </si>
  <si>
    <t>28+850</t>
  </si>
  <si>
    <t>58+800</t>
  </si>
  <si>
    <t>120+000</t>
  </si>
  <si>
    <t>32+200</t>
  </si>
  <si>
    <t>9+300</t>
  </si>
  <si>
    <t>45+900</t>
  </si>
  <si>
    <t>9+625</t>
  </si>
  <si>
    <t>7+100</t>
  </si>
  <si>
    <t>12+805</t>
  </si>
  <si>
    <t>1+200</t>
  </si>
  <si>
    <t>1+900</t>
  </si>
  <si>
    <t>7+890</t>
  </si>
  <si>
    <t>372+084</t>
  </si>
  <si>
    <t>3+100</t>
  </si>
  <si>
    <t>11+800</t>
  </si>
  <si>
    <t>14+050</t>
  </si>
  <si>
    <t>Таблица № 7. Перечень участков автомобильных дорог регионального и межмуниципального значения,
 которые к концу 2024 года будут в нормативном транспортно-эксплуатационном состоянии</t>
  </si>
  <si>
    <t>Энгельсский муниципальный район</t>
  </si>
  <si>
    <t>Наименование муниципального образования</t>
  </si>
  <si>
    <t>км 6+500</t>
  </si>
  <si>
    <t>км 1+600</t>
  </si>
  <si>
    <t>км 0+600</t>
  </si>
  <si>
    <t>№20</t>
  </si>
  <si>
    <t>№ 288</t>
  </si>
  <si>
    <t>№ 2</t>
  </si>
  <si>
    <t>№ 81</t>
  </si>
  <si>
    <t>км 1+900</t>
  </si>
  <si>
    <t>км 7+400</t>
  </si>
  <si>
    <t>км 2+100</t>
  </si>
  <si>
    <t>км 3+770</t>
  </si>
  <si>
    <t>№ 158</t>
  </si>
  <si>
    <t>км 0+370</t>
  </si>
  <si>
    <t>км 0+900</t>
  </si>
  <si>
    <t>№ 11</t>
  </si>
  <si>
    <t>№ 100</t>
  </si>
  <si>
    <t>№ 65</t>
  </si>
  <si>
    <t>№ 134</t>
  </si>
  <si>
    <t>км 0+400</t>
  </si>
  <si>
    <t>км 1+000</t>
  </si>
  <si>
    <t>км 1+500</t>
  </si>
  <si>
    <t>№ 4</t>
  </si>
  <si>
    <t>№ 212</t>
  </si>
  <si>
    <t>№ 1</t>
  </si>
  <si>
    <t>№ 37</t>
  </si>
  <si>
    <t>№ 3</t>
  </si>
  <si>
    <t>№ 10Г</t>
  </si>
  <si>
    <t>км 2+500</t>
  </si>
  <si>
    <t>км 1+100</t>
  </si>
  <si>
    <t>км 1+400</t>
  </si>
  <si>
    <t>№4Г</t>
  </si>
  <si>
    <t>№207</t>
  </si>
  <si>
    <t>км 4+300</t>
  </si>
  <si>
    <t>км 3+200</t>
  </si>
  <si>
    <t>км 1+200</t>
  </si>
  <si>
    <t>№ 56</t>
  </si>
  <si>
    <t>№ 128</t>
  </si>
  <si>
    <t>км 0+800</t>
  </si>
  <si>
    <t>№ 54</t>
  </si>
  <si>
    <t>№ 97</t>
  </si>
  <si>
    <t>км 3+300</t>
  </si>
  <si>
    <t>км 0+700</t>
  </si>
  <si>
    <t>км 4+800</t>
  </si>
  <si>
    <t>№ 110</t>
  </si>
  <si>
    <t>№ 128А</t>
  </si>
  <si>
    <t>км 4+400</t>
  </si>
  <si>
    <t>км 1+800</t>
  </si>
  <si>
    <t>км 1+700</t>
  </si>
  <si>
    <t>№ 160</t>
  </si>
  <si>
    <t>№ 185</t>
  </si>
  <si>
    <t>№ 45</t>
  </si>
  <si>
    <t>№ 57</t>
  </si>
  <si>
    <t>№ 6</t>
  </si>
  <si>
    <t>№ 21</t>
  </si>
  <si>
    <t>№ 20</t>
  </si>
  <si>
    <t>км 1+300</t>
  </si>
  <si>
    <t>км 2+200</t>
  </si>
  <si>
    <t>Участок дороги в границах агломерации</t>
  </si>
  <si>
    <t>1Р-228 Сызрань - Саратов -Волгоград
 (км 242+000 - км 358+920)</t>
  </si>
  <si>
    <t>пог.м.</t>
  </si>
  <si>
    <t>иные виды работ</t>
  </si>
  <si>
    <t>км, кв.м., пог.м., шт</t>
  </si>
  <si>
    <t xml:space="preserve">ИТОГО по Саратовской агломерации без учета автомобильных дорог общего пользования регионального или межмуниципального значения, включенных в Саратовскую агломерацию </t>
  </si>
  <si>
    <t>12+300</t>
  </si>
  <si>
    <t>автомобильная дорога "Горный - Березово" на участке км 3+590 - км 19+360 (в пределах Краснопартизанского района)</t>
  </si>
  <si>
    <t>автомобильная дорога "Горный - Березово" (в пределах Пугачевского района)</t>
  </si>
  <si>
    <t>63-000-000 ОП РЗ 63 К-00422</t>
  </si>
  <si>
    <t>22+400</t>
  </si>
  <si>
    <t>19+200</t>
  </si>
  <si>
    <t>4+800</t>
  </si>
  <si>
    <t>12+000</t>
  </si>
  <si>
    <t>33+500</t>
  </si>
  <si>
    <t>12+900</t>
  </si>
  <si>
    <t>13+800</t>
  </si>
  <si>
    <t>1+430</t>
  </si>
  <si>
    <t>0+300</t>
  </si>
  <si>
    <t>2+540</t>
  </si>
  <si>
    <t>2+940</t>
  </si>
  <si>
    <t>3+460</t>
  </si>
  <si>
    <t>3+960</t>
  </si>
  <si>
    <t>1+850</t>
  </si>
  <si>
    <t>2+950</t>
  </si>
  <si>
    <t>0+110</t>
  </si>
  <si>
    <t>0+590</t>
  </si>
  <si>
    <t>0+800</t>
  </si>
  <si>
    <t>0+938</t>
  </si>
  <si>
    <t>0+210</t>
  </si>
  <si>
    <t>0+310</t>
  </si>
  <si>
    <t>0+370</t>
  </si>
  <si>
    <t>2+070</t>
  </si>
  <si>
    <t>0+230</t>
  </si>
  <si>
    <t>0+400</t>
  </si>
  <si>
    <t>0+280</t>
  </si>
  <si>
    <t>1+380</t>
  </si>
  <si>
    <t>2+260</t>
  </si>
  <si>
    <t>2+460</t>
  </si>
  <si>
    <t>2+403</t>
  </si>
  <si>
    <t>1+020</t>
  </si>
  <si>
    <t>0+820</t>
  </si>
  <si>
    <t>0+100</t>
  </si>
  <si>
    <t>2+200</t>
  </si>
  <si>
    <t>1+090</t>
  </si>
  <si>
    <t>1+390</t>
  </si>
  <si>
    <t>0+00</t>
  </si>
  <si>
    <t>0+500</t>
  </si>
  <si>
    <t>0+600</t>
  </si>
  <si>
    <t>0+700</t>
  </si>
  <si>
    <t>0+398</t>
  </si>
  <si>
    <t>1+500</t>
  </si>
  <si>
    <t>1+420</t>
  </si>
  <si>
    <t>1+300</t>
  </si>
  <si>
    <t>0+900</t>
  </si>
  <si>
    <t>4+020</t>
  </si>
  <si>
    <t>4+720</t>
  </si>
  <si>
    <t>1+700</t>
  </si>
  <si>
    <t>0+220</t>
  </si>
  <si>
    <t>1+220</t>
  </si>
  <si>
    <t>1+720</t>
  </si>
  <si>
    <t>0+330</t>
  </si>
  <si>
    <t>0+530</t>
  </si>
  <si>
    <t>0+601</t>
  </si>
  <si>
    <t>0+250</t>
  </si>
  <si>
    <t>1+840</t>
  </si>
  <si>
    <t>2+640</t>
  </si>
  <si>
    <t>2+150</t>
  </si>
  <si>
    <t>0+540</t>
  </si>
  <si>
    <t>0+120</t>
  </si>
  <si>
    <t>1+260</t>
  </si>
  <si>
    <t>4+040</t>
  </si>
  <si>
    <t>0+940</t>
  </si>
  <si>
    <t>1+340</t>
  </si>
  <si>
    <t>0+270</t>
  </si>
  <si>
    <t>0+040</t>
  </si>
  <si>
    <t>0+740</t>
  </si>
  <si>
    <t>0+790</t>
  </si>
  <si>
    <t>0+349</t>
  </si>
  <si>
    <t>0+860</t>
  </si>
  <si>
    <t>0+960</t>
  </si>
  <si>
    <t>1+113</t>
  </si>
  <si>
    <t>0+470</t>
  </si>
  <si>
    <t>0+670</t>
  </si>
  <si>
    <t>3+360</t>
  </si>
  <si>
    <t>3+660</t>
  </si>
  <si>
    <t>3+640</t>
  </si>
  <si>
    <t>8+960</t>
  </si>
  <si>
    <t>1+770</t>
  </si>
  <si>
    <t>1+712</t>
  </si>
  <si>
    <t>км 0+448</t>
  </si>
  <si>
    <t>км 0+229</t>
  </si>
  <si>
    <t>км8+970</t>
  </si>
  <si>
    <t>дом №4/10</t>
  </si>
  <si>
    <t>дом №116а</t>
  </si>
  <si>
    <t>дом №116г</t>
  </si>
  <si>
    <t>дом  № 37б</t>
  </si>
  <si>
    <t>дом  № 35</t>
  </si>
  <si>
    <t>дом  № 21</t>
  </si>
  <si>
    <t>дом  № 25</t>
  </si>
  <si>
    <t>дом  № 3</t>
  </si>
  <si>
    <t>дом  № 7</t>
  </si>
  <si>
    <t>дом  № 23</t>
  </si>
  <si>
    <t>дом  № 294</t>
  </si>
  <si>
    <t>дом  № 296</t>
  </si>
  <si>
    <t>дом  № 62/66</t>
  </si>
  <si>
    <t>Ул. Рабочая (от ул. Астраханская до ул. Пугачева Е.И., от ул. им. Емлютина дом В. до ул.Б.Садовая)</t>
  </si>
  <si>
    <t>Ул. им. акадом  Навашина С.Г.</t>
  </si>
  <si>
    <t>Ул. Техническая (от пр. им. 50 лет Октября до ул. им. акадом  Навашина С.Г.)</t>
  </si>
  <si>
    <t>дом №40</t>
  </si>
  <si>
    <t>дом №44</t>
  </si>
  <si>
    <t>Ул. Белоглинская (от ул. им. Емлютина дом В. до ул. Б.Садовой)</t>
  </si>
  <si>
    <t>дом №67</t>
  </si>
  <si>
    <t>дом №67з</t>
  </si>
  <si>
    <t>дом №79</t>
  </si>
  <si>
    <t>дом № 5</t>
  </si>
  <si>
    <t>Ул. Танкистов (от ул. Соколовой до ул. им. акадом  Навашина С.Г.)</t>
  </si>
  <si>
    <t>дом № 43</t>
  </si>
  <si>
    <t>дом № 17/29а</t>
  </si>
  <si>
    <t>Ул. им. Емлютина дом В. (от ул. Шелковичной до ул. Рабочей)</t>
  </si>
  <si>
    <t>дом  № 30</t>
  </si>
  <si>
    <t>дом  № 34</t>
  </si>
  <si>
    <t>дом  № 63</t>
  </si>
  <si>
    <t>дом  № 71</t>
  </si>
  <si>
    <t>дом  № 123</t>
  </si>
  <si>
    <t>дом  № 127</t>
  </si>
  <si>
    <t>дом  № 141</t>
  </si>
  <si>
    <t>дом  № 145</t>
  </si>
  <si>
    <t>дом №64</t>
  </si>
  <si>
    <t>дом №8</t>
  </si>
  <si>
    <t>дом №24а</t>
  </si>
  <si>
    <t>дом №24б</t>
  </si>
  <si>
    <t>дом №37</t>
  </si>
  <si>
    <t>дом №41</t>
  </si>
  <si>
    <t>дом №13</t>
  </si>
  <si>
    <t>дом №48</t>
  </si>
  <si>
    <t>дом №50</t>
  </si>
  <si>
    <t>дом №18а</t>
  </si>
  <si>
    <t>дом №20в</t>
  </si>
  <si>
    <t>дом № 80</t>
  </si>
  <si>
    <t>дом №242</t>
  </si>
  <si>
    <t>дом №197</t>
  </si>
  <si>
    <t>дом №1</t>
  </si>
  <si>
    <t>дом №30</t>
  </si>
  <si>
    <t>дом №32</t>
  </si>
  <si>
    <t>дом №83/89к1</t>
  </si>
  <si>
    <t>дом №12/11</t>
  </si>
  <si>
    <t>дом №158</t>
  </si>
  <si>
    <t>дом №158а</t>
  </si>
  <si>
    <t>дом №4</t>
  </si>
  <si>
    <t>Дорога ул. Танкистов (от ул. им. акадом  Навашина С.Г. до ул. им. Бирюзова С.С. и от ул. Трудовой до ул. Зерновой)</t>
  </si>
  <si>
    <t>дом №58</t>
  </si>
  <si>
    <t>дом №88А</t>
  </si>
  <si>
    <t>Просп. им. 50 лет Октября местные проезды в Кировском районе: левая сторона от дома № 5 до ул. Алексеевская; правая сторона от дом №18 до ул. Технической</t>
  </si>
  <si>
    <t>дом №8а</t>
  </si>
  <si>
    <t>дом №12</t>
  </si>
  <si>
    <t>дом №141</t>
  </si>
  <si>
    <t>Дорога ул. Рабочая (от ул. Вокзальной до ул. им.Емлютина дом В., от ул. Большой Садовой до жилого дома №226)</t>
  </si>
  <si>
    <t>Дорога ул. Белоглинская (от ул. им.Рахова В.Г. до ул. им.Емлютина дом В.,от ул.Большой Садовой до 13-го Шелковичного пр.) - (от Емлютина до Вокзалиной; от Ст. Разина до Университетской</t>
  </si>
  <si>
    <t>дом №9</t>
  </si>
  <si>
    <t>дом № 345</t>
  </si>
  <si>
    <t>дом № 357</t>
  </si>
  <si>
    <t>дом № 239л</t>
  </si>
  <si>
    <t>дом № 340а</t>
  </si>
  <si>
    <t>дом № 2б/1</t>
  </si>
  <si>
    <t>дом № 18</t>
  </si>
  <si>
    <t>дом № 34</t>
  </si>
  <si>
    <t>дом  № 44/1</t>
  </si>
  <si>
    <t>дом  №120</t>
  </si>
  <si>
    <t>км 0+730</t>
  </si>
  <si>
    <t>8+970</t>
  </si>
  <si>
    <t>дом  № 85</t>
  </si>
  <si>
    <t>дом  № 87</t>
  </si>
  <si>
    <t>дом № 9</t>
  </si>
  <si>
    <t>дом №180</t>
  </si>
  <si>
    <t>дом №182</t>
  </si>
  <si>
    <t>дом №64а</t>
  </si>
  <si>
    <t>дом  № 46</t>
  </si>
  <si>
    <t>дом №54</t>
  </si>
  <si>
    <t>дом №57</t>
  </si>
  <si>
    <t>дом №59</t>
  </si>
  <si>
    <t>дом №11</t>
  </si>
  <si>
    <t>дом  № 68/39</t>
  </si>
  <si>
    <t>дом  № 72</t>
  </si>
  <si>
    <t>дом №110а</t>
  </si>
  <si>
    <t>дом №110а, к7</t>
  </si>
  <si>
    <t>дом №10</t>
  </si>
  <si>
    <t>дом № 38</t>
  </si>
  <si>
    <t>дом № 39</t>
  </si>
  <si>
    <t>дом № 48/47</t>
  </si>
  <si>
    <t>дом № 52</t>
  </si>
  <si>
    <t>дом № 31</t>
  </si>
  <si>
    <t>дом № 35</t>
  </si>
  <si>
    <t>дом № 8/12</t>
  </si>
  <si>
    <t>дом № 14/26</t>
  </si>
  <si>
    <t>дом № 59</t>
  </si>
  <si>
    <t>дом № 61</t>
  </si>
  <si>
    <t>дом № 11б</t>
  </si>
  <si>
    <t>дом № 19</t>
  </si>
  <si>
    <t>дом №6</t>
  </si>
  <si>
    <t>дом № 2</t>
  </si>
  <si>
    <t>дом № 10</t>
  </si>
  <si>
    <t>дом  № 115</t>
  </si>
  <si>
    <t>дом  № 117/5</t>
  </si>
  <si>
    <t>дом №35</t>
  </si>
  <si>
    <t>дом №39</t>
  </si>
  <si>
    <t>км 1+745</t>
  </si>
  <si>
    <t>км 1+055</t>
  </si>
  <si>
    <t>дом №58/44</t>
  </si>
  <si>
    <t>дом №27</t>
  </si>
  <si>
    <t>дом №17</t>
  </si>
  <si>
    <t>дом №159</t>
  </si>
  <si>
    <t>дом №157</t>
  </si>
  <si>
    <t>дом №153а</t>
  </si>
  <si>
    <t>дом №135/144</t>
  </si>
  <si>
    <t>дом №109</t>
  </si>
  <si>
    <t>дом №95</t>
  </si>
  <si>
    <t>дом №72с2</t>
  </si>
  <si>
    <t>дом №145</t>
  </si>
  <si>
    <t>дом №227</t>
  </si>
  <si>
    <t>дом №253</t>
  </si>
  <si>
    <t>дом № 72/74</t>
  </si>
  <si>
    <t>дом № 41</t>
  </si>
  <si>
    <t>дом №20</t>
  </si>
  <si>
    <t>дом №280</t>
  </si>
  <si>
    <t>дом №82</t>
  </si>
  <si>
    <t>дом №40/123</t>
  </si>
  <si>
    <t>дом №7</t>
  </si>
  <si>
    <t>дом №31</t>
  </si>
  <si>
    <t>дом №26</t>
  </si>
  <si>
    <t>0+980</t>
  </si>
  <si>
    <t>дом № 89</t>
  </si>
  <si>
    <t>дом № 45/51</t>
  </si>
  <si>
    <t>1+601</t>
  </si>
  <si>
    <t>0+850</t>
  </si>
  <si>
    <t>0+361</t>
  </si>
  <si>
    <t>0+553</t>
  </si>
  <si>
    <t>0+931</t>
  </si>
  <si>
    <t>0+567</t>
  </si>
  <si>
    <t>0+985</t>
  </si>
  <si>
    <t>0+815</t>
  </si>
  <si>
    <t>0+148</t>
  </si>
  <si>
    <t>0+388</t>
  </si>
  <si>
    <t>1+045</t>
  </si>
  <si>
    <t>0+211</t>
  </si>
  <si>
    <t>0+186</t>
  </si>
  <si>
    <t>0+296</t>
  </si>
  <si>
    <t>0+386</t>
  </si>
  <si>
    <t>0+410</t>
  </si>
  <si>
    <t>0+371</t>
  </si>
  <si>
    <t>1+368</t>
  </si>
  <si>
    <t>0+480</t>
  </si>
  <si>
    <t>0+180</t>
  </si>
  <si>
    <t>5+700</t>
  </si>
  <si>
    <t>3+700</t>
  </si>
  <si>
    <t>9+410</t>
  </si>
  <si>
    <t>0+520</t>
  </si>
  <si>
    <t>0+760</t>
  </si>
  <si>
    <t>0+222</t>
  </si>
  <si>
    <t>2+170</t>
  </si>
  <si>
    <t>2+400</t>
  </si>
  <si>
    <t>1+402</t>
  </si>
  <si>
    <t>2+500</t>
  </si>
  <si>
    <t>4+400</t>
  </si>
  <si>
    <t>Дом № 2в</t>
  </si>
  <si>
    <t>4+380</t>
  </si>
  <si>
    <t>2+680</t>
  </si>
  <si>
    <t>0+450</t>
  </si>
  <si>
    <t>1+350</t>
  </si>
  <si>
    <t>1+625</t>
  </si>
  <si>
    <t>2+110</t>
  </si>
  <si>
    <t>Дом № 167</t>
  </si>
  <si>
    <t>3+800</t>
  </si>
  <si>
    <t>Дом № 62</t>
  </si>
  <si>
    <t>Дом № 71</t>
  </si>
  <si>
    <t>2+700</t>
  </si>
  <si>
    <t>Дом № 16</t>
  </si>
  <si>
    <t>1+600</t>
  </si>
  <si>
    <t>Дом № 7а</t>
  </si>
  <si>
    <t>1+050</t>
  </si>
  <si>
    <t>0+202</t>
  </si>
  <si>
    <t>0+070</t>
  </si>
  <si>
    <t>1+680</t>
  </si>
  <si>
    <t>Дом № 23</t>
  </si>
  <si>
    <t>Дом № 3</t>
  </si>
  <si>
    <t>Дом № 139</t>
  </si>
  <si>
    <t>Дом № 3б</t>
  </si>
  <si>
    <t>Дом № 55</t>
  </si>
  <si>
    <t>Дом № 26а</t>
  </si>
  <si>
    <t>4+830</t>
  </si>
  <si>
    <t>0+550</t>
  </si>
  <si>
    <t>0+420</t>
  </si>
  <si>
    <t>0+580</t>
  </si>
  <si>
    <t>1+270</t>
  </si>
  <si>
    <t>1+780</t>
  </si>
  <si>
    <t>7+400</t>
  </si>
  <si>
    <t>39+020</t>
  </si>
  <si>
    <t>80+900</t>
  </si>
  <si>
    <t>18+500</t>
  </si>
  <si>
    <t>16+200</t>
  </si>
  <si>
    <t>5+500</t>
  </si>
  <si>
    <t>15+664</t>
  </si>
  <si>
    <t>47+233</t>
  </si>
  <si>
    <t>31+100</t>
  </si>
  <si>
    <t>32+800</t>
  </si>
  <si>
    <t>20+354</t>
  </si>
  <si>
    <t>257+400</t>
  </si>
  <si>
    <t>147+750</t>
  </si>
  <si>
    <t>325+033</t>
  </si>
  <si>
    <t>151+500</t>
  </si>
  <si>
    <t>66+000</t>
  </si>
  <si>
    <t>26+000</t>
  </si>
  <si>
    <t>31+400</t>
  </si>
  <si>
    <t>93+130</t>
  </si>
  <si>
    <t xml:space="preserve"> 348+200 </t>
  </si>
  <si>
    <t xml:space="preserve">Наименование автомобильной дороги (улицы) по титулу </t>
  </si>
  <si>
    <t>Адрес аварийно-опасного участка (МКДТП), выявленного в 2018 году</t>
  </si>
  <si>
    <t>Количество ДТП с пострадавшими в МКДТП, шт.</t>
  </si>
  <si>
    <t>В том числе по видам ДТП</t>
  </si>
  <si>
    <t>Условия и причины возникновения места концентрации ДТП, выявленные по результатам анализа сведений о ДТП</t>
  </si>
  <si>
    <t>Количество пострадавших в МКДТП, чел.</t>
  </si>
  <si>
    <t>Коды недостатков транспортно-эксплуатационного состояния УДС в местах совершения ДТП</t>
  </si>
  <si>
    <t>Сроки проведения работ, год</t>
  </si>
  <si>
    <t>Стоимость работ, 
тыс.руб.</t>
  </si>
  <si>
    <t>Раздел 1 - Сведения о МКДТП за 2018 г. и запланированных мероприятиях по их ликвидации</t>
  </si>
  <si>
    <t>Раздел 2 - Сведения о МКДТП за 2017 г. и запланированных мероприятиях по их ликвидации</t>
  </si>
  <si>
    <t>Мероприятия по ликвидации МКДТП</t>
  </si>
  <si>
    <t>ул. Бабушкин Взвоз</t>
  </si>
  <si>
    <t>д. 19</t>
  </si>
  <si>
    <t>д. 21</t>
  </si>
  <si>
    <t>Нарушение правил проезда пешеходного перехода;
Переход в неустановленном месте     Несоблюдение очередности проезда..</t>
  </si>
  <si>
    <t>1 - Замена дорожных знаков 2.4 по ул. Бабушкин Взвоз на знаки 2.5</t>
  </si>
  <si>
    <t>2 -Снижение скоростного режима</t>
  </si>
  <si>
    <t>3 - Обустройство наземных пешеходных переходов по всему периметру перекрестка (по ул. Бабушкин Взвоз -2 шт., по ул. Мичурина - 1 шт.) с нанесением дорожной разметки 1.14.1 с желтым наполнением и установкой дорожных знаков 5.19.1(2)</t>
  </si>
  <si>
    <t>4 - Замена дорожных знаков 5.19.1(2) на ул. Мичурина на знаки повышенной информативности</t>
  </si>
  <si>
    <t>д. 46</t>
  </si>
  <si>
    <t>1 - Желтое наполнение дорожной разметки 1.14.1 по периметру перекрестка</t>
  </si>
  <si>
    <t>2 - Установка дорожного знака 5.19.1 повышенной информативности над проезжей частью ул. Московская</t>
  </si>
  <si>
    <t>3 - Замена дорожных знаков 5.19.1(2) на знаки повышенной информативности</t>
  </si>
  <si>
    <t>4 - Ликвидация части заездных карманов на ул. Московская у д. 47 (на 3,0м) и на ул. Некрасова у д. 45 по ул. Московская (на 5-10м) для обеспечения видимости и нормативного расстояния до пешеходных переходов</t>
  </si>
  <si>
    <t>5 - Установка комплекса фотовидеофиксации нарушений установленного скоростного режима по ул. Московская</t>
  </si>
  <si>
    <t>д.
20/190</t>
  </si>
  <si>
    <t>д. 22</t>
  </si>
  <si>
    <t>2 - Корректировка режима работы светофорного объекта</t>
  </si>
  <si>
    <t>3 - Установка комплекса фотовидеофиксации нарушений установленного скоростного режима по ул. Соколовая (40 км/ч)</t>
  </si>
  <si>
    <t xml:space="preserve">4 - Нанесение разметки 1.24.2 и 1.24.4 по ул. Соколовая </t>
  </si>
  <si>
    <t>5 - Обустройство подходов (тротуара) к пешеходным переходам со стороны д. 72 по ул. Соколовая</t>
  </si>
  <si>
    <t>1 - Нанесение разметки 1.2 по основной проезжей части ул. Усть-Курдюмская</t>
  </si>
  <si>
    <t>2 - Установка знаков приоритета на пересечении основного хода и въезда (выезда) с бокового проезда от д. 9</t>
  </si>
  <si>
    <t>3 - Нанесение шумовых полос на основном ходу улицы перед пересечением с въездом (выездом) от д. 9</t>
  </si>
  <si>
    <t>1 - Проведение локально-реконструктивных мероприятий по изменению радиусов бортового камня для устройства (и увеличения) тротуара на примыкании ул. им. А.М.Горького (по ходу движения) к ул. Б. Горная</t>
  </si>
  <si>
    <t>3 - Изменение приоритета в движении по улицам</t>
  </si>
  <si>
    <t>4 - Желтое наполнение дорожной разметки 1.14.1 по периметру перекрестка</t>
  </si>
  <si>
    <t>5 - Установка дорожных знаков 5.19.1 повышенной информативности над проезжей частью ул. Б. Горная и ул. им.А.М.Горького</t>
  </si>
  <si>
    <t>6 - Демонтаж знака 4.1.5, замена дорожных знаков 5.19.1(2) на знаки повышенной информативности</t>
  </si>
  <si>
    <t>д.143</t>
  </si>
  <si>
    <t>1 - Проведение локально-реконструктивных мероприятий по устройству бортового камня по внешней кривой дороги до проезда к ул. Кооперативная с понижением в местах подъезда к территориям объектов (д.д. 143, 145), а также на участке от д. 137 до проезда к ул. Кооперативная с понижением борта для подъезда к парковке у д. 137А</t>
  </si>
  <si>
    <t>2 - Установка дорожных знаков 1.34.1 и 1.34.2 по внешней кривой дороги, а также знака 2.1 перед проездом к Кооперативной ул. при следовании к Соколовой ул.</t>
  </si>
  <si>
    <t>3 - Нанесение дорожной разметки 1.24.2 (40) и 1.24.1, дублирующей дорожные знаки 1.23</t>
  </si>
  <si>
    <t>2 - Установка дорожных знаков 5.19.1 повышенной информативности над проезжей частью ул. Первомайская</t>
  </si>
  <si>
    <t>3 - Желтое наполнение дорожной разметки 1.14.1 по периметру перекрестка</t>
  </si>
  <si>
    <t>4 - Установка комплекса фотовидеофиксации нарушений установленного скоростного режима по ул. Первомайская (40 км/ч)</t>
  </si>
  <si>
    <t>5 - Замена дорожных знаков 5.19.1(2) на знаки повышенной информативности и знаков 2.4 на 2.5 по ул. им.Н.А.Некрасова</t>
  </si>
  <si>
    <t>6 - Нанесение дорожной разметки 1.24.2 (40) и 1.24.1, дублирующей дорожный знак 1.23</t>
  </si>
  <si>
    <t>7 - Установка дорожного знака (таблички) 8.24 под знаком 3.24 (40) по ул. Первомайская</t>
  </si>
  <si>
    <t>2 - Нанесение дорожной разметки 1.18 на ул. Соколовая и ул. Мясницкая (с обеих сторон перекрестка)</t>
  </si>
  <si>
    <t>3 - Установка дорожного знака 5.15.1 по ул. Соколовая с учетом наличия правоповоротной стрелки</t>
  </si>
  <si>
    <t>4 - Установка дорожных знаков 5.19.1 повышенной информативности над проезжей частью ул. Соколовая и Мясницкая</t>
  </si>
  <si>
    <t xml:space="preserve">5 - Оборудование светофора Т.1.п., установленного на Соколовой ул. перед перекрестком, экраном белого цвета </t>
  </si>
  <si>
    <t>1 - Установка пешеходных ограждений на участке ул. им.Н.Г.Чернышевского от ул. Московская до ул. Тулупная</t>
  </si>
  <si>
    <t>2 - Упорядочение (или ликвидация) парковки транспорта в существующем парковочном кармане со стороны д. 10 для обеспечения беспрепятственного движения по правой полосе</t>
  </si>
  <si>
    <t>4 - Нанесение дорожной разметки 1.23.1 для дополнительного обозначения полосы, предназначенной для движения маршрутных транспортных средств</t>
  </si>
  <si>
    <t>д.184</t>
  </si>
  <si>
    <t>д.190/198</t>
  </si>
  <si>
    <t>1 - Установка дорожного знака 5.19.1 повышенной информативности над проезжей частью ул. им.Н.Г.Чернышевского</t>
  </si>
  <si>
    <t>2 - Желтое наполнение дорожной разметки 1.14.1 по периметру перекрестка</t>
  </si>
  <si>
    <t>ул. им.В.М.Азина</t>
  </si>
  <si>
    <t>2 - Нанесение разметки 1.18 в зоне остановочного пункта, нанесение разметки 1.24.2 , дублирующей запрещающий дорожный знак 3.24 (40), установленный у д.17</t>
  </si>
  <si>
    <t>2 - Установка комплексов фотовидеофиксации нарушений установленного скоростного режима (40 км/ч) в обоих направлениях</t>
  </si>
  <si>
    <t>3 - Нанесение разметки 1.18 в зоне остановочного пункта, нанесение разметки 1.24.2 , дублирующей запрещающие дорожные знаки 3.24 (40) на ул. Крымская</t>
  </si>
  <si>
    <t>4 - Установка дорожных знаков (табличек) 8.24 под знакамм 3.24 (40) по ул. Крымская</t>
  </si>
  <si>
    <t>1 - Нанесение разметки 1.26 в зоне перекрестка</t>
  </si>
  <si>
    <t>2 - Установка комплекса фотовидеофиксации нарушений п. 13.2 ПДД РФ</t>
  </si>
  <si>
    <t>3 - Установка дорожных знаков 5.19.1 повышенной информативности над проезжей частью Ново-Астраханского ш.</t>
  </si>
  <si>
    <t>4 - Желтое наполнение дорожной разметки 1.14.1 по Ново-Астраханскому ш. и на 5-м Динамовском пр. со стороны Огородной ул.</t>
  </si>
  <si>
    <t>5 - Установка пешеходных ограждений на Ново-Астраханском ш. в соответствии с требованиями ГОСТ Р 52289-2004</t>
  </si>
  <si>
    <t>6 - Проведение локально-реконструктивных мероприятий по устройству бортового камня вдоль Ново-Астраханского ш. после перекрестка с 5-м Динамовским пр-дом в направлении Пензенской ул. с учетом направленного правого поворота и наличия выездов-выездов с прилегающей территории</t>
  </si>
  <si>
    <t xml:space="preserve">1 - Снижение установленной скорости движения по Ново-Астраханскому ш. до 40 км/ч на подходах к перекрестку не менее чем за 100м </t>
  </si>
  <si>
    <t>2 - Установка комплексов фотовидеофиксации нарушений предалагаемого скоростного режима (40 км/ч)</t>
  </si>
  <si>
    <t>д.14</t>
  </si>
  <si>
    <t>1 - Нанесение дорожной разметки 1.24.2 , дублирующей запрещающие дорожные знаки 3.24 (40) на ул. им.Н.Г.Чернышевского</t>
  </si>
  <si>
    <t>3 - Приведение размещения остановочных пунктов относительно перекрестка в соответствие нормативным требованиям (перенос остановок за перекресток по ходу движения на расстояние 25м)</t>
  </si>
  <si>
    <t>3 - Нанесение разметки 1.11 на пересечении ул. им.Н.Г.Чернышевского со 2-м Мельничным пр-дом (исключение левого поворота при выезде со 2-го Мельничного пр.</t>
  </si>
  <si>
    <t>4 - Введение ограничений на остановку-стоянку транспорта в местах наличия пешеходных ограждений и подпорной стенки</t>
  </si>
  <si>
    <t>5 - Установка дорожных знаков 5.19.1 повышенной информативности над проезжей частью ул. им.Н.Г.Чернышевского</t>
  </si>
  <si>
    <t>6 - Желтое наполнение дорожной разметки 1.14.1 по ул. им.Н.Г.Чернышевского</t>
  </si>
  <si>
    <t>7 - Замена дорожных знаков 5.19.1(2) на знаки повышенной информативности по ул. им.Н.Г.Чернышевского</t>
  </si>
  <si>
    <t>3 - Нанесение участка осевой линии разметки 1.3, разметки 1.11 в местах наличия левых поворотов, а также 1.7 в пределах пересечения</t>
  </si>
  <si>
    <t>1 - Переразметка проезжей части пр-та Энтузиастов вдоль сквера "Дружбы народов"для организации 3-х полос движения в направлении Пензенской ул. (правая - прямо и направо, средняя - прямо, левая - налево)</t>
  </si>
  <si>
    <t xml:space="preserve">2 - Проведение локально-реконструктивных работ по устройству островка безопасности на пешеходном переходе в начале д.20 на проезде к Барнаульской ул. </t>
  </si>
  <si>
    <t xml:space="preserve">3 - Устройство приподнятого пешеходного перехода </t>
  </si>
  <si>
    <t>4 - Желтое наполнение дорожной разметки 1.14.1 по пр-ту Энтузиастов (3 перехода)</t>
  </si>
  <si>
    <t>6 - Замена дорожных знаков 5.19.1(2) на знаки повышенной информативности по пр-ту Энтузиастов (3 перехода)</t>
  </si>
  <si>
    <t>1 - Демонтаж предписывающих знаков и установка знаков особых предписаний (5.7.1, 5.7.2) при выезде с пр-та Энтузиастов</t>
  </si>
  <si>
    <t>2 - Проведение локально-реконструктивных работ по устройству бортового камня на внешнем радиусе левого поворота при выезде с пр-та Энтузиастов в месте примыкания Барнаульской ул. и трамвайных путей, с учетом траектории движения транспорта и пешеходов</t>
  </si>
  <si>
    <t>4 - Нанесение дорожной разметки 1.7 в зоне пересечения</t>
  </si>
  <si>
    <t>5 - Переразметка проезжей части пр-та Энтузиастов перед перекрестком при движении от ул. Пономарева для организации 3-х полос движения и их специализации с учетом интенсивности транспортного потока по направлениям</t>
  </si>
  <si>
    <t>6 - Желтое наполнение дорожной разметки 1.14.1 по периметру перекрестка</t>
  </si>
  <si>
    <t>7 - Замена и доустановка необходимых дорожных знаков  5.19.1(2) повышенной информативности</t>
  </si>
  <si>
    <t xml:space="preserve">8 - Устройство приподнятого пешеходного перехода </t>
  </si>
  <si>
    <t>2 - Установка комплекса фотовидеофиксации нарушений установленного скоростного режима (40 км/ч) по пр-ту Энтузиастов при движении от пересечения с Барнаульской ул.</t>
  </si>
  <si>
    <t>5 - Установка дорожных знаков 5.19.1 повышенной информативности над проезжей частью пр-та Энтузиастов (2 перехода)</t>
  </si>
  <si>
    <t>6 - Замена дорожных знаков  5.19.1(2) на знаки повышенной информативности</t>
  </si>
  <si>
    <t>7 - Нанесение дорожной разметки 1.24.4</t>
  </si>
  <si>
    <t>д.34/40</t>
  </si>
  <si>
    <t>1 - Установка дополнительного комплекса фотовидеофиксации нарушений установленного скоростного режима на пр-те Энтузиастов (40 км/ч) за 50-100 до перекрестка при движении от Кавказской ул.</t>
  </si>
  <si>
    <t>2 - Нанесение дорожной разметки 1.24.4</t>
  </si>
  <si>
    <t>3 - Корректировка режима работы светофорного объекта</t>
  </si>
  <si>
    <t>3 - Замена дорожных знаков  5.19.1(2) на знаки повышенной информативности</t>
  </si>
  <si>
    <t>4 - Желтое наполнение дорожной разметки 1.14.1</t>
  </si>
  <si>
    <t xml:space="preserve">5 - Устройство приподнятого пешеходного перехода </t>
  </si>
  <si>
    <t>ул. им.Г.К.Орджоникидзе</t>
  </si>
  <si>
    <t>д. 16</t>
  </si>
  <si>
    <t>1 - Установка дорожных знаков 5.19.1 повышенной информативности над проезжей частью ул. им.Г.К.Орджоникидзе (2 перехода)</t>
  </si>
  <si>
    <t>2 - Желтое наполнение дорожной разметки 1.14.1</t>
  </si>
  <si>
    <t>д. 64</t>
  </si>
  <si>
    <t>08, 00</t>
  </si>
  <si>
    <t>1 - Замена дорожных знаков  5.19.1(2) на знаки повышенной информативности</t>
  </si>
  <si>
    <t>2 - Установка комплекса фотовидеофиксации нарушений установленного скоростного режима на данном участке пр-та Энтузиастов (40 км/ч) при движении от Крымской ул.</t>
  </si>
  <si>
    <t>3 - Желтое наполнение дорожной разметки 1.14.1</t>
  </si>
  <si>
    <t>5 - Нанесение дорожной разметки 1.24.2 , дублирующей запрещающий дорожный знак 3.24 (40)</t>
  </si>
  <si>
    <t>6 - Установка дорожного знака (таблички) 8.24 под знак 3.24 (40)</t>
  </si>
  <si>
    <t>2 - Замена дорожных знаков  5.19.1(2) на знаки повышенной информативности</t>
  </si>
  <si>
    <t>4 - Установка дорожных знаков 5.19.1 повышенной информативности над проезжей частью Ново-Астраханского ш.</t>
  </si>
  <si>
    <t xml:space="preserve"> д. 196</t>
  </si>
  <si>
    <t>1 - Установка комплексов фотовидеофиксации нарушений установленного скоростного режима на данном участке Огородной ул. (40 км/ч) в обоих направлениях</t>
  </si>
  <si>
    <t>3 - Нанесение дорожной разметки 1.24.2 , дублирующей запрещающие дорожные знаки 3.24 (40), а также 1.24.1, дублирующей знаки 1.23</t>
  </si>
  <si>
    <t>4 - Установка дорожных знаков (табличек) 8.24 под знаки 3.24 (40)</t>
  </si>
  <si>
    <t>ул. Плодородная</t>
  </si>
  <si>
    <t>5 - Желтое наполнение дорожной разметки 1.14.1</t>
  </si>
  <si>
    <t>1 - Установка дорожных знаков 5.19.1 повышенной информативности над проезжей частью пр-та им.50 лет Октября</t>
  </si>
  <si>
    <t>4 - Устройство дополнительного освещения зоны пешеходных переходов через пр-т им.50 лет Октября</t>
  </si>
  <si>
    <t>4 - Замена дорожных знаков  5.19.1(2) на знаки повышенной информативности</t>
  </si>
  <si>
    <t>2 - Нанесение дорожной разметки 1.7, 1.1, 1.16.1-3 на перекрестке для устройства направляющих островков, канализирующих движение транспорта</t>
  </si>
  <si>
    <t xml:space="preserve">3 - Желтое наполнение дорожной разметки 1.14.1 (3 перехода) </t>
  </si>
  <si>
    <t>4 - Замена дорожных знаков  5.19.1(2) на знаки повышенной информативности (3 перехода)</t>
  </si>
  <si>
    <t>1 - Проведение локально-реконструктивных мероприятий по устройству бортового камня на нечетной стороне Астраханской ул. со стороны травайного полотна в створе тротуаров ул. им.В.С.Зарубина</t>
  </si>
  <si>
    <t>3 - Перенос наземного нерегулируемого перехода через проезжую часть ул. им.В.С.Зарубина, расположенного на участке между проезжими частями ул. Астраханская, ко входам-выходам из сквера (с возможностью его совмещения с искусственной неровностью) с нанесением соответствующей дорожной разметки и установкой необходимых дорожных знаков 5.19.1(2) повышенной информативности</t>
  </si>
  <si>
    <t>4 - Установка (восстановление) пешеходных ограждений со стороны сквера по четной стороне Астраханской ул.</t>
  </si>
  <si>
    <t>5 - Доустановка (восстановление) дорожных знаков 5.5, 3.1, 5.7.2 в зоне перекрестка</t>
  </si>
  <si>
    <t>7 - Желтое наполнение дорожной разметки 1.14.1</t>
  </si>
  <si>
    <t>д.195</t>
  </si>
  <si>
    <t>д.197</t>
  </si>
  <si>
    <t xml:space="preserve">1 - Проведение локально-реконструктивных работ по устройству (увеличению тротуара) на Симбирской ул. со стороны д. 195 по Б. Горной ул. с переоборудованием светофорного объекта </t>
  </si>
  <si>
    <t>2 - Нанесение дорожной разметки 1.18 на ул. Симбирская при движении от Соколовой ул. и установка дорожных знаков 5.15.1 с учетом интенсивности транспортного потока по направлениям</t>
  </si>
  <si>
    <t>3 - Установка дорожных знаков 5.19.1 повышенной информативности над проезжей частью ул. Б. Горная и ул. Симбирская со стороны ул. Соколовая</t>
  </si>
  <si>
    <t>1 - Установка 2-х комплексов фотовидеофиксации нарушений требований сигналов светофора (проезд на красный) со стороны д. 70/50 по ул. Вольская и ул. им.И.С.Кутякова</t>
  </si>
  <si>
    <t>3 - Установка дорожных знаков 5.19.1 повышенной информативности над проезжей частью ул. Вольская и ул. им.И.С.Кутякова</t>
  </si>
  <si>
    <t>5 - Замена дорожных знаков  5.19.1(2) на знаки повышенной информативности</t>
  </si>
  <si>
    <t xml:space="preserve">2 - Проведение локально-реконструктивных работ по ликвидации части парковочного кармана на ул. им.А.М.Горького перед перекрестком в районе д. 11/48 по ул. им. И.С.Кутякова с учетом обеспечения видимости и нормативного расстояния до пешеходного перехода </t>
  </si>
  <si>
    <t>3 - Установка дорожных знаков 5.19.1 повышенной информативности над проезжей частью</t>
  </si>
  <si>
    <t>д.108</t>
  </si>
  <si>
    <t>д.110/116</t>
  </si>
  <si>
    <t>1 - Нанесение дорожной разметки 1.12 по ул. им. В.Г.Рахова и на участке ул. им.И.С.Кутякова между проезжими частями ул. им.В.Г.Рахова</t>
  </si>
  <si>
    <t>2 - Установка комплексов фотовидеофиксации нарушений, связанных с выездом за стоп-линию</t>
  </si>
  <si>
    <t xml:space="preserve">ул. Московская </t>
  </si>
  <si>
    <t>д.104</t>
  </si>
  <si>
    <t>д.106</t>
  </si>
  <si>
    <t>2 - Установка 2-х комплексов фотовидеофиксации нарушений требований сигналов светофора (проезд на красный)</t>
  </si>
  <si>
    <t>д.129/133</t>
  </si>
  <si>
    <t>д.137/149</t>
  </si>
  <si>
    <t>1 - Нанесение дорожной разметки 1.12 по ул. им. В.Г.Рахова и на участке ул. Московская между проезжими частями ул. им.В.Г.Рахова</t>
  </si>
  <si>
    <t>2 - Установка комплексов фотовидеофиксации нарушений, связанных с выездом за стоп-линию и требований сигналов светофора (проезд на красный) по ул. им.В.Г.Рахова и ул. Московская при движении в направлении ул. им.В.И.Чапаева</t>
  </si>
  <si>
    <t>1 - Нанесение дорожной разметки 1.18 на ул. Соколовая при движении от ул. им.А.М.Горького, а также разметки 1.7 на перекрестке с учетом двустороннего движения на последующем участке ул. Соколовая</t>
  </si>
  <si>
    <t>2 - Устройство наружного освещения перекрестка</t>
  </si>
  <si>
    <t>2 - Реконструкция светофорного объекта с корректировкой режима работы</t>
  </si>
  <si>
    <t>3 - Установка знака приоритета на ул. Соколовая при движении от ул. Железнодорожная</t>
  </si>
  <si>
    <t>2 - Установка комплекса фотовидеофиксации нарушений установленного скоростного режима по ул. Танкистов (40 км/ч) при движении от ул. Крайняя</t>
  </si>
  <si>
    <t>3 - Нанесение дорожной разметки 1.24.2 , дублирующей запрещающие дорожные знаки 3.24 (40) по ул. Танкистов, а также разметки 1.24.4</t>
  </si>
  <si>
    <t>4 - Перенос дорожного знака 2.1 по ул. Танкистов к перекрестку с 1-м Магнитным пр-дом при движении от Безымянной ул.</t>
  </si>
  <si>
    <t xml:space="preserve">ул. им.В.И.Чапаева </t>
  </si>
  <si>
    <t>д.90</t>
  </si>
  <si>
    <t>д.94</t>
  </si>
  <si>
    <t>Нарушение правил перестроения  Несоблюдение очередности проезда Нарушение требований сигналов светофора</t>
  </si>
  <si>
    <t>1 - Корректировка режима работы светофорного объекта</t>
  </si>
  <si>
    <t>2 - Нанесение дорожной разметки 1.12 по ул. им. В.И.Чапаева</t>
  </si>
  <si>
    <t>3 - Установка комплексов фотовидеофиксации нарушений, связанных с выездом за стоп-линию и требований сигналов светофора (проезд на красный)</t>
  </si>
  <si>
    <t>Привокзальная пл.</t>
  </si>
  <si>
    <t>д.66А</t>
  </si>
  <si>
    <t>1 - Проведение локально-реконструктивных работ на Привокзальной пл. и участке ул. Аткарская между ул. Московская и ул. Б. Казачья по обустройству направляющих островков в бортовом камне</t>
  </si>
  <si>
    <t>2 - Замена дорожной разметки 1.13 и 1.20 на Актарской ул. перед выездом с Привокзальной пл. и в район пересечения с ул. Б. Казачья на разметку 1.12 при наличии светофорного регулирования</t>
  </si>
  <si>
    <t>3 - Установка пешеходных ограждений на площади с учетом размещения остановочных пунктов и пешеходных переходов</t>
  </si>
  <si>
    <t>4 - Установка дорожных знаков 5.19.1 повышенной информативности над проезжей частью ул. Актарская, ул. Московская и Привокзальной пл.</t>
  </si>
  <si>
    <t>д.72/74</t>
  </si>
  <si>
    <t>Нарушение правил проезда пешеходного перехода;         Переход в неустановленном месте;     Несоблюдение очередности проезда  Нарушение требований сигналов светофора</t>
  </si>
  <si>
    <t>2 - Желтое наполнение дорожной разметки 1.14.1 по ул. им.В.И.Чапаева и по ул.Б. Казачья со стороны Мирного пер.</t>
  </si>
  <si>
    <t>3 - Установка комплексов фотовидеофиксации нарушений требований сигналов светофора (проезд на красный)</t>
  </si>
  <si>
    <t>4 - Установка дорожных знаков 5.19.1 повышенной информативности над проезжей частью ул. им.В.И.Чапаева и ул. Б. Казачья со стороны ул. Вольская</t>
  </si>
  <si>
    <t>5 - Замена дорожных знаков  5.19.1(2) на знаки повышенной информативности по ул. им.В.И.Чапаева и ул. Б. Казачья со стороны Мирного пер.</t>
  </si>
  <si>
    <t>д.58</t>
  </si>
  <si>
    <t xml:space="preserve">Выезд на полосу встречного движения;
Несоблюдение очередности проезда;
Нарушение правил проезда пешеходного перехода.
</t>
  </si>
  <si>
    <t>4 - Замена дорожного знака 2.4 на знак 2.5 при выезде с Рябиновской ул.</t>
  </si>
  <si>
    <t>5 - Устройство дополнительного наружного освещения зоны пешеходного перехода</t>
  </si>
  <si>
    <t>4 - Нанесение дорожной разметки 1.1 и 1.12 на Московской ул. перед перекрестком</t>
  </si>
  <si>
    <t>Нарушение правил проезда пешеходного перехода;
Нарушение правил расположения ТС;
 Переход в неустановленном месте.</t>
  </si>
  <si>
    <t>08, 15, 00</t>
  </si>
  <si>
    <t>1 - Установка дорожных знаков 5.19.1 повышенной информативности над проезжей частью ул. Танкистов</t>
  </si>
  <si>
    <t>ул. Тракторная</t>
  </si>
  <si>
    <t>Несоблюдение очередности проезда</t>
  </si>
  <si>
    <t>2 - Нанесение дорожной разметки 1.11 и 1.7 по оси проезжей части ул. Тракторная в зоне перекрестка</t>
  </si>
  <si>
    <t>3 - Установка дорожных знаков 2.5 при выезде на ул. Тракторная</t>
  </si>
  <si>
    <t>д.283</t>
  </si>
  <si>
    <t>д.294</t>
  </si>
  <si>
    <t>Несоблюдение очередности проезда;
 Нарушение требований сигналов светофора.</t>
  </si>
  <si>
    <t>1 - Нанесение дорожной разметки 1.12 по ул. им. В.Г.Рахова и ул. Соколовая, в т.ч. на участке между проезжими частями ул. им.В.Г.Рахова</t>
  </si>
  <si>
    <t>2 - Доустановка (восстановление) дорожных знаков приоритета, знаков особых предписаний и и запрещающих знаков на перекрестке, переустановка знаков 5.19.1(2) на участке ул. Соколовая между проезжими частями ул. им.В.Г.Рахова с учетом расположения наземного пешеходного перехода</t>
  </si>
  <si>
    <t>3 - Установка комплексов фотовидеофиксации нарушений, связанных с выездом за стоп-линию и требований сигналов светофора (проезд на красный) по ул. им.В.Г.Рахова и ул. Соколовая</t>
  </si>
  <si>
    <t>1 - Проведение локально-реконструктивных работ по ликвидации заездного кармана на пр-те им.50 лет Октября и установке пешеходных ограждений со стороны трамвайного полотна от выхода из подземного пешеходного перехода до остановки маршрутного транспорта на противоположной стороне проспекта (около 100п.м.)</t>
  </si>
  <si>
    <t>2 - Замена дорожных знаков 6.6 на знаки повышенной информативности, установка знаков 2.1 непосредственно у перекрестка</t>
  </si>
  <si>
    <t>3 - Желтое наполнение дорожной разметки 1.14.1 на Деловой ул.</t>
  </si>
  <si>
    <t>4 - Нанесение шумовых полос на пр-те им.50 лет Октября перед перекрестком</t>
  </si>
  <si>
    <t>1 - Установка пешеходных ограждений по пр-ту им.50 лет Октября со стороны трамвайного полотна от остановочного пункта "Торговый центр" до выхода из подземного пешеходного перехода (около 60п.м.)</t>
  </si>
  <si>
    <t>3 - Нанесение разметки 1.11 в местах наличия левых поворотов при выезде с 3-й Дачной ул. и на Торговый пр.</t>
  </si>
  <si>
    <t>4 - Замена дорожных знаков 6.6 на знаки повышенной информативности</t>
  </si>
  <si>
    <t>2 - Увеличение зоны ограничения скоростного режима 40 км/ч по ул. им. Академика О.К.Антонова  при движении от ул. Перспективная на 100-150м до перекрестка с ул. Днепропетровская</t>
  </si>
  <si>
    <t>3 - Нанесение дорожной разметки 1.24.2 , дублирующей запрещающие дорожные знаки 3.24 (40) по ул. им. Академика О.К.Антонова</t>
  </si>
  <si>
    <t>4 - Установка комплексов фотовидеофиксации нарушений установленного скоростного режима по ул. им. Академика О.К.Антонова (40 км/ч), в т.ч. на предлагаемом участке</t>
  </si>
  <si>
    <t>д.3</t>
  </si>
  <si>
    <t>1 - Реконструкция (переоборудование) светофорного объекта с проведением локально-реконструктивных мероприятий по оптимизации разрешенных направлений движения, конфигурации пересечения и расположения пешеходных переходов с корректировкой режима работы</t>
  </si>
  <si>
    <t>2 - Нанесение дорожной разметки 1.1, 1.7, 1.12 и 1.16.1-3 в зоне пересечения</t>
  </si>
  <si>
    <t>3 - Нанесение дорожной разметки 1.24.4 по пр-ту Строителей</t>
  </si>
  <si>
    <t>4 - Установка комплексов фотовидеофиксации нарушений, связанных с выездом за стоп-линию и требований сигналов светофора (проезд на красный)</t>
  </si>
  <si>
    <t>д.5</t>
  </si>
  <si>
    <t>1 - Установка знаков приоритета и знаков особых предписаний на пересечении в полном объеме</t>
  </si>
  <si>
    <t>2 - Нанесение дорожной разметки 1.24.2 , дублирующей запрещающие дорожные знаки 3.24 (40) по ул. им. М.В.Ломоносова</t>
  </si>
  <si>
    <t>3 - Установка комплексов фотовидеофиксации нарушений установленного скоростного режима (40 км/ч) по ул. им. М.В.Ломоносова</t>
  </si>
  <si>
    <t xml:space="preserve">4 - Проведение локально-реконструктивных мероприятий по устройству бортового камня на 4-й Прокатной ул. у д. 17/8 в месте примыкания к ул. им. М.В.Ломоносова </t>
  </si>
  <si>
    <t xml:space="preserve">Московское ш. </t>
  </si>
  <si>
    <t>2 - Нанесение вертикальной разметки на мачты освещения, нанесение горизонтальной разметки 1.2 на ул. Панфилова, нанесение разметки 1.7 и 1.12 в зоне пересечения</t>
  </si>
  <si>
    <t>3 - Приведение в соответствие нормативным требованиям размещения дорожных знаков 5.19.1(2) с их заменой на знаки повышенной информативности</t>
  </si>
  <si>
    <t>1 - Установка комплекса фотовидеофиксации нарушений установленного скоростного режима (40 км/ч) по ул. им. К.Ф.Тархова при движении от пр-та Строителей</t>
  </si>
  <si>
    <t xml:space="preserve">2 - Нанесение дорожной разметки 1.24.2 , дублирующей запрещающие дорожные знаки 3.24 (40) по ул. им. К.Ф.Тархова, разметки 1.24.4, а также разметки 1.1, 1.13 и 1.20 на проезжих частях проездов через разделительную полосу улицы </t>
  </si>
  <si>
    <t>5 - Перенос остановочного пункта маршрутного транспорта, раположенного в зоне пересечения с возможной корректировкой планировки пересечения</t>
  </si>
  <si>
    <t>6 - Установка предписывающих и запрещающих дорожных знаков на пересечении</t>
  </si>
  <si>
    <t>2 - Изменение режима работы светофорного объекта и рассмотрение возможности отмены левых повортов на перекрестке с ул. им.К.Ф.Тархова, ввиду отсутствия зоны накопления из-за габаритов разделительной полосы</t>
  </si>
  <si>
    <t>2 - Установка дорожного знака 2.1 с табл. 8.13 у д. 2 по пр-ту Строителей</t>
  </si>
  <si>
    <t>3 - Установка дорожных знаков 8.22.1-3 в зоне пересечения, замена дорожных знаков 8.13</t>
  </si>
  <si>
    <t>4 - Введение ограничений на остановку-стоянку транспорта в зоне пересечения с корректировкой мест размещения существующих дорожных знаков 3.27 и 8.24</t>
  </si>
  <si>
    <t>5 - Реконструкция светофорных объектов</t>
  </si>
  <si>
    <t>9 - Нанесение дорожной разметки 1.12 в соответствии с требованиями ГОСТ, регламентирующими расстояние до светофора</t>
  </si>
  <si>
    <t>ул. им.А.П.Шехурдина</t>
  </si>
  <si>
    <t>1 - Изменение дорожной разметки 1.3 на 1.11 на ул. им. А.П.Шехурдина или демонтаж табл. 8.5.6</t>
  </si>
  <si>
    <t>2 - Перенос дорожных знаков 2.1 ближе к перекрестку</t>
  </si>
  <si>
    <t>2 - Исключение хаотичной парковки и введение ограничений на остановку-стоянку в границах проезжей части пересечения с обеспечением соответствующего контроля</t>
  </si>
  <si>
    <t>2 - Проведение локально-реконструктивных мероприятий по устройству подхода (тротуара) к пешеходному переходу на боковом проезд проспекта с исключением размещения перехода в створе въезда-выезда с прилегающей территории между д.д. 19 и 21</t>
  </si>
  <si>
    <t>3- Нанесение дорожной разметки 1.12 в соответствии с требованиями ГОСТ, регламентирующими расстояние до светофора</t>
  </si>
  <si>
    <t>6 - Нанесение дорожной разметки 1.12 в соответствии с требованиями ГОСТ, регламентирующими расстояние до светофора</t>
  </si>
  <si>
    <t>7 - Установка комплексов фотовидеофиксации нарушений требований сигналов светофора (проезд на красный)</t>
  </si>
  <si>
    <t>7 - Установка комплексов фотовидеофиксации нарушений требований сигналов светофора (проезд на красный), а также выезда за стоп-линию</t>
  </si>
  <si>
    <t>3 - Нанесение разметки, разделяющей транспортные потоки противоположных направлений на перекрестке</t>
  </si>
  <si>
    <t>4 - Изменение разрешенных направлений движения по полосам, указанных на знаках 5.15.2 на ул. Б. Садовая, с учетом фактического количества полос движения за перекрестком</t>
  </si>
  <si>
    <t>6 - Желтое наполнение дорожной разметки 1.14.1</t>
  </si>
  <si>
    <t>8 - Установка дорожного знака 5.7.1 на Новоузенской ул. перед перекрестком при движении от Вокзального пр.</t>
  </si>
  <si>
    <t>3 - Рассмотрение целесообразности нанесения разметки 1.14.2 вместо 1.14.1 с учетом показателей интенсивности движения пешеходов</t>
  </si>
  <si>
    <t>3- Желтое наполнение дорожной разметки 1.14.1</t>
  </si>
  <si>
    <t>2 - Установка 2-х комплексов фотовидеофиксации нарушений требований сигналов светофора (проезд на красный</t>
  </si>
  <si>
    <t>325+700</t>
  </si>
  <si>
    <t>327+450</t>
  </si>
  <si>
    <t>ИТОГО по автомобильным дорогам регионального и межмуниципального значения (вне агломерации)</t>
  </si>
  <si>
    <t>ИТОГО по автомобильным дорогам регионального и межмуниципального значения (по субъекту)</t>
  </si>
  <si>
    <t>Итого по автомобильным дорогам регионального и межмуниципального значения (справочно, в  &lt;Наименование агломерации&gt;)</t>
  </si>
  <si>
    <t>ИТОГО по автодорогам регионального и межмуниципального значения (справочно, в  &lt;Наименование агломерации&gt;)</t>
  </si>
  <si>
    <t>Итого по автомобильным дорогам регионального и межмуниципального значения (справочно, вне агломерации)</t>
  </si>
  <si>
    <t>ИТОГО по автодорогам регионального и межмуниципального значения (справочно, вне агломерации)</t>
  </si>
  <si>
    <t>Итого по автомобильным дорогам регионального и межмуниципального значения (справочно, в субъекте)</t>
  </si>
  <si>
    <t>ИТОГО по автодорогам регионального и межмуниципального значения (справочно, в субъекте)</t>
  </si>
  <si>
    <t>Итого по резервным объектам (в  &lt;Наименование агломерации&gt;)</t>
  </si>
  <si>
    <t>ИТОГО по резервным объектам (в  &lt;Наименование агломерации&gt;)</t>
  </si>
  <si>
    <t>Итого по резервным объектам (вне агломерации)</t>
  </si>
  <si>
    <t>ИТОГО по резервным объектам (вне агломерации)</t>
  </si>
  <si>
    <t>Итого по резервным объектам (в субъекте)</t>
  </si>
  <si>
    <t>ИТОГО по резервным объектам (в субъекте)</t>
  </si>
  <si>
    <t>ИТОГО по автомобильным дорогам регионального и межмуниципального значения (в  Саратовской агломерации)</t>
  </si>
  <si>
    <t>387+140</t>
  </si>
  <si>
    <t>158+000</t>
  </si>
  <si>
    <t>226+000</t>
  </si>
  <si>
    <t>ИТОГО по автомобильным дорогам регионального и межмуниципального значения
(вне агломерации)</t>
  </si>
  <si>
    <t>246+600</t>
  </si>
  <si>
    <t>280+400</t>
  </si>
  <si>
    <t>Таблица № 6. Программа проведения диагностики автомобильных дорог федерального, 
регионального и межмуниципального, местного значения (в границах городской агломерации)</t>
  </si>
  <si>
    <t>в границах агло-
мерации</t>
  </si>
  <si>
    <t>3543826</t>
  </si>
  <si>
    <t>735629</t>
  </si>
  <si>
    <t>738682</t>
  </si>
  <si>
    <t>738671</t>
  </si>
  <si>
    <t>2795147</t>
  </si>
  <si>
    <t>742464</t>
  </si>
  <si>
    <t xml:space="preserve">Муниципальное образование "Город Саратов" </t>
  </si>
  <si>
    <t>242+000</t>
  </si>
  <si>
    <t>375+000</t>
  </si>
  <si>
    <t>566+914</t>
  </si>
  <si>
    <t>616+914</t>
  </si>
  <si>
    <t>679+594</t>
  </si>
  <si>
    <t>729+594</t>
  </si>
  <si>
    <t>370+490</t>
  </si>
  <si>
    <t>374+490</t>
  </si>
  <si>
    <t>324+580</t>
  </si>
  <si>
    <t>90+020</t>
  </si>
  <si>
    <t>102+950</t>
  </si>
  <si>
    <t>7+110</t>
  </si>
  <si>
    <t>7+11</t>
  </si>
  <si>
    <t>7+895</t>
  </si>
  <si>
    <t>6+330</t>
  </si>
  <si>
    <t>1+230</t>
  </si>
  <si>
    <t>1+870</t>
  </si>
  <si>
    <t>12+570</t>
  </si>
  <si>
    <t>12+420</t>
  </si>
  <si>
    <t>0+780</t>
  </si>
  <si>
    <t>1+960</t>
  </si>
  <si>
    <t>18+480</t>
  </si>
  <si>
    <t>14+140</t>
  </si>
  <si>
    <t>325+884</t>
  </si>
  <si>
    <t>452+445</t>
  </si>
  <si>
    <t>509+760</t>
  </si>
  <si>
    <t>3+130</t>
  </si>
  <si>
    <t>2+570</t>
  </si>
  <si>
    <t>8+400</t>
  </si>
  <si>
    <t>6+130</t>
  </si>
  <si>
    <t>21+700</t>
  </si>
  <si>
    <t>9+780</t>
  </si>
  <si>
    <t>№ 1А</t>
  </si>
  <si>
    <t>№ 57А</t>
  </si>
  <si>
    <t>№93и</t>
  </si>
  <si>
    <t>№ 101б</t>
  </si>
  <si>
    <t>№1</t>
  </si>
  <si>
    <t>№88а</t>
  </si>
  <si>
    <t>№32</t>
  </si>
  <si>
    <t>№41</t>
  </si>
  <si>
    <t>№360</t>
  </si>
  <si>
    <t>№30</t>
  </si>
  <si>
    <t>№173</t>
  </si>
  <si>
    <t>№163</t>
  </si>
  <si>
    <t>№12</t>
  </si>
  <si>
    <t>№22</t>
  </si>
  <si>
    <t>№76</t>
  </si>
  <si>
    <t>№120</t>
  </si>
  <si>
    <t>№343а</t>
  </si>
  <si>
    <t>№1а</t>
  </si>
  <si>
    <t>№89а</t>
  </si>
  <si>
    <t>№2</t>
  </si>
  <si>
    <t>№85</t>
  </si>
  <si>
    <t>№181</t>
  </si>
  <si>
    <t>№108</t>
  </si>
  <si>
    <t>№160</t>
  </si>
  <si>
    <t>№139/150</t>
  </si>
  <si>
    <t>№160/80</t>
  </si>
  <si>
    <t>№232</t>
  </si>
  <si>
    <t>№94</t>
  </si>
  <si>
    <t>№49</t>
  </si>
  <si>
    <t>№24</t>
  </si>
  <si>
    <t>№33/37</t>
  </si>
  <si>
    <t>№37/45</t>
  </si>
  <si>
    <t>№99</t>
  </si>
  <si>
    <t>№1/13</t>
  </si>
  <si>
    <t>№4</t>
  </si>
  <si>
    <t>№152</t>
  </si>
  <si>
    <t>№57а</t>
  </si>
  <si>
    <t>№1Ас1</t>
  </si>
  <si>
    <t>№148</t>
  </si>
  <si>
    <t>№15</t>
  </si>
  <si>
    <t>№33/137</t>
  </si>
  <si>
    <t>№151/8а</t>
  </si>
  <si>
    <t>№39</t>
  </si>
  <si>
    <t>№2/19</t>
  </si>
  <si>
    <t>№29</t>
  </si>
  <si>
    <t>№9</t>
  </si>
  <si>
    <t>ул. Шехурдина №28</t>
  </si>
  <si>
    <t>ул. Шехурдина №26</t>
  </si>
  <si>
    <t>№118</t>
  </si>
  <si>
    <t>№90б</t>
  </si>
  <si>
    <t>№103</t>
  </si>
  <si>
    <t>№26</t>
  </si>
  <si>
    <t>№37</t>
  </si>
  <si>
    <t>№310Ак1</t>
  </si>
  <si>
    <t>№1/13а</t>
  </si>
  <si>
    <t>ул. Б.Садовая №241</t>
  </si>
  <si>
    <t>№45</t>
  </si>
  <si>
    <t>№3/4</t>
  </si>
  <si>
    <t>№126</t>
  </si>
  <si>
    <t>№12в</t>
  </si>
  <si>
    <t>№106/137</t>
  </si>
  <si>
    <t>№106</t>
  </si>
  <si>
    <t>№17/108</t>
  </si>
  <si>
    <t>№42</t>
  </si>
  <si>
    <t>№2/4г</t>
  </si>
  <si>
    <t>№64</t>
  </si>
  <si>
    <t>№55с1</t>
  </si>
  <si>
    <t>№151</t>
  </si>
  <si>
    <t>№46</t>
  </si>
  <si>
    <t>№29а</t>
  </si>
  <si>
    <t>№31</t>
  </si>
  <si>
    <t>№64/70</t>
  </si>
  <si>
    <t>№2/10</t>
  </si>
  <si>
    <t>№100</t>
  </si>
  <si>
    <t>№156а</t>
  </si>
  <si>
    <t>№23</t>
  </si>
  <si>
    <t>№1/72</t>
  </si>
  <si>
    <t>№1ас1</t>
  </si>
  <si>
    <t>№28</t>
  </si>
  <si>
    <t>№105а-№109</t>
  </si>
  <si>
    <t>№143-№171а</t>
  </si>
  <si>
    <t>№90/104</t>
  </si>
  <si>
    <t>№86/70</t>
  </si>
  <si>
    <t>№60а</t>
  </si>
  <si>
    <t>№63</t>
  </si>
  <si>
    <t>№164</t>
  </si>
  <si>
    <t>№13</t>
  </si>
  <si>
    <t>№105</t>
  </si>
  <si>
    <t>№115</t>
  </si>
  <si>
    <t>№8</t>
  </si>
  <si>
    <t>№1к</t>
  </si>
  <si>
    <t>№3г</t>
  </si>
  <si>
    <t>№24к7</t>
  </si>
  <si>
    <t>№35</t>
  </si>
  <si>
    <t>№132</t>
  </si>
  <si>
    <t>№294</t>
  </si>
  <si>
    <t>№265а</t>
  </si>
  <si>
    <t>№15/31а</t>
  </si>
  <si>
    <t>№145</t>
  </si>
  <si>
    <t>№28/34</t>
  </si>
  <si>
    <t>№49/65</t>
  </si>
  <si>
    <t>№73</t>
  </si>
  <si>
    <t>№1/1</t>
  </si>
  <si>
    <t>№60</t>
  </si>
  <si>
    <t>№25</t>
  </si>
  <si>
    <t>№18</t>
  </si>
  <si>
    <t>№ 239</t>
  </si>
  <si>
    <t>№ 258</t>
  </si>
  <si>
    <t>№214</t>
  </si>
  <si>
    <t>№80/84</t>
  </si>
  <si>
    <t>№81а</t>
  </si>
  <si>
    <t>№97</t>
  </si>
  <si>
    <t>№87к9</t>
  </si>
  <si>
    <t>№3</t>
  </si>
  <si>
    <t>№1б</t>
  </si>
  <si>
    <t>№137</t>
  </si>
  <si>
    <t>№ 95</t>
  </si>
  <si>
    <t>№ 61</t>
  </si>
  <si>
    <t>№108а</t>
  </si>
  <si>
    <t>№ 12</t>
  </si>
  <si>
    <t>№10</t>
  </si>
  <si>
    <t>ул.Малая Лесопарковая</t>
  </si>
  <si>
    <t>№30/9</t>
  </si>
  <si>
    <t>№2/12</t>
  </si>
  <si>
    <t>№133</t>
  </si>
  <si>
    <t>№53</t>
  </si>
  <si>
    <t>№11</t>
  </si>
  <si>
    <t>№29/1</t>
  </si>
  <si>
    <t>№77</t>
  </si>
  <si>
    <t>№40</t>
  </si>
  <si>
    <t>№80</t>
  </si>
  <si>
    <t>№2а</t>
  </si>
  <si>
    <t>№21а</t>
  </si>
  <si>
    <t>№96</t>
  </si>
  <si>
    <t>№2/1</t>
  </si>
  <si>
    <t>№10б</t>
  </si>
  <si>
    <t>№5</t>
  </si>
  <si>
    <t>№168</t>
  </si>
  <si>
    <t>№14</t>
  </si>
  <si>
    <t>№ 25</t>
  </si>
  <si>
    <t>№79</t>
  </si>
  <si>
    <t>№70</t>
  </si>
  <si>
    <t>№195к4</t>
  </si>
  <si>
    <t>№213/187</t>
  </si>
  <si>
    <t>№322</t>
  </si>
  <si>
    <t>№225а</t>
  </si>
  <si>
    <t>№55а</t>
  </si>
  <si>
    <t>№19</t>
  </si>
  <si>
    <t>№192</t>
  </si>
  <si>
    <t>№59</t>
  </si>
  <si>
    <t>№74</t>
  </si>
  <si>
    <t>№47</t>
  </si>
  <si>
    <t>№75а</t>
  </si>
  <si>
    <t>№51</t>
  </si>
  <si>
    <t>№ 14</t>
  </si>
  <si>
    <t>№ 8</t>
  </si>
  <si>
    <t>№ 23</t>
  </si>
  <si>
    <t>№ 51</t>
  </si>
  <si>
    <t>№ 5</t>
  </si>
  <si>
    <t>№ 18</t>
  </si>
  <si>
    <t>№ 19</t>
  </si>
  <si>
    <t>№ 136</t>
  </si>
  <si>
    <t>№ 174</t>
  </si>
  <si>
    <t>№ 35</t>
  </si>
  <si>
    <t>№ 9</t>
  </si>
  <si>
    <t>№ 200</t>
  </si>
  <si>
    <t xml:space="preserve"> № 212</t>
  </si>
  <si>
    <t>№ 13</t>
  </si>
  <si>
    <t>№ 24</t>
  </si>
  <si>
    <t>№ 27</t>
  </si>
  <si>
    <t>№ 36</t>
  </si>
  <si>
    <t>№ 16</t>
  </si>
  <si>
    <t>№ 74</t>
  </si>
  <si>
    <t>№ 26</t>
  </si>
  <si>
    <t>№ 59</t>
  </si>
  <si>
    <t>№ 10</t>
  </si>
  <si>
    <t>№ 325</t>
  </si>
  <si>
    <t>№ 236</t>
  </si>
  <si>
    <t>№ б2</t>
  </si>
  <si>
    <t>№56</t>
  </si>
  <si>
    <t>№ 68</t>
  </si>
  <si>
    <t>№ 66</t>
  </si>
  <si>
    <t xml:space="preserve">№ 3/9 </t>
  </si>
  <si>
    <t xml:space="preserve">№ 1 </t>
  </si>
  <si>
    <t xml:space="preserve">№ 200 </t>
  </si>
  <si>
    <t>всего по субъек
ту</t>
  </si>
  <si>
    <t>Таблица № 6. Программа проведения диагностики автомобильных дорог федерального, регионального и 
межмуниципального, местного значения (в границах городской агломерации)</t>
  </si>
  <si>
    <t>Таблица № 3. Перечень автомобильных дорог (улиц) федерального, регионального и 
межмуниципального, местного  значения, работающих в режиме перегрузки (по Саратовской области)</t>
  </si>
  <si>
    <t>км 358+920</t>
  </si>
  <si>
    <t>1Р-228 Сызрань - Саратов -Волгоград
 (км 258+000 - км 358+920)</t>
  </si>
  <si>
    <t>км 258+000</t>
  </si>
  <si>
    <t>Таблица № 5. Программа проведения диагностики автомобильных дорог федерального, регионального и 
межмуниципального значения  (по субъекту Российской Федерации)</t>
  </si>
  <si>
    <t>Примечание</t>
  </si>
  <si>
    <t>62+800</t>
  </si>
  <si>
    <t>53+700</t>
  </si>
  <si>
    <t>17+600</t>
  </si>
  <si>
    <t>ВСЕГО:</t>
  </si>
  <si>
    <t>1+670</t>
  </si>
  <si>
    <t>Автомобильные дороги регионального и межмуниципального значения (в  пределах Саратовской агломерации)</t>
  </si>
  <si>
    <t>Автомобильные дороги регионального и межмуниципального значения (вне агломерации)</t>
  </si>
  <si>
    <t>2022-2024 гг.</t>
  </si>
  <si>
    <t>2020-2022 гг.</t>
  </si>
  <si>
    <t>2019 г.</t>
  </si>
  <si>
    <t>Автомобильные дороги федерального значения (справочно)</t>
  </si>
  <si>
    <t>км 12+600</t>
  </si>
  <si>
    <t>км 7+500</t>
  </si>
  <si>
    <t>км 11+824</t>
  </si>
  <si>
    <t>км 11+580</t>
  </si>
  <si>
    <t xml:space="preserve">строительство </t>
  </si>
  <si>
    <t>Финансирование по Т4
Строительство путепровода через жд пути</t>
  </si>
  <si>
    <t>Уширение проезжей части</t>
  </si>
  <si>
    <t>2+214</t>
  </si>
  <si>
    <t>Р-228 Сызрань-Саратов-Волгоград</t>
  </si>
  <si>
    <t>154+000</t>
  </si>
  <si>
    <t>155+000</t>
  </si>
  <si>
    <t>1,1,1,2,5</t>
  </si>
  <si>
    <t>несоблюдение очередности проезда</t>
  </si>
  <si>
    <t>Установка щитов "Аварийно-опасный участок" на желтом фоне с применением дорожного знака 1.33 "Прочие опасности" и таблички 8.2.1 "Зона действия" 1 км (2 шт)</t>
  </si>
  <si>
    <t>191+000</t>
  </si>
  <si>
    <t>192+000</t>
  </si>
  <si>
    <t>1,1,1,3,3</t>
  </si>
  <si>
    <t>неправильный выбор дистанции</t>
  </si>
  <si>
    <t>198+000</t>
  </si>
  <si>
    <t>199+000</t>
  </si>
  <si>
    <t>1,1,1</t>
  </si>
  <si>
    <t>272+372</t>
  </si>
  <si>
    <t>273+150</t>
  </si>
  <si>
    <t>283+000</t>
  </si>
  <si>
    <t>284+000</t>
  </si>
  <si>
    <t>1,1,1,1,4</t>
  </si>
  <si>
    <t>285+000</t>
  </si>
  <si>
    <t>286+000</t>
  </si>
  <si>
    <t>1,1,1,1,1,91</t>
  </si>
  <si>
    <t>нарушение правил обгона</t>
  </si>
  <si>
    <t>287+000</t>
  </si>
  <si>
    <t>287+300</t>
  </si>
  <si>
    <t>1,1,1,5</t>
  </si>
  <si>
    <t>выезд на полосу встречного движения</t>
  </si>
  <si>
    <t xml:space="preserve">Шумовые полосы </t>
  </si>
  <si>
    <t>290+000</t>
  </si>
  <si>
    <t>291+000</t>
  </si>
  <si>
    <t>выезд на полосу встречного движения, несоблюдение очередности проезда</t>
  </si>
  <si>
    <t>302+000</t>
  </si>
  <si>
    <t>303+000</t>
  </si>
  <si>
    <t>1,1,1,4</t>
  </si>
  <si>
    <t>305+000</t>
  </si>
  <si>
    <t>306+000</t>
  </si>
  <si>
    <t>1,1,1,3,5</t>
  </si>
  <si>
    <t>несоблюдение очередности проезда, неправильный выбор дистанции</t>
  </si>
  <si>
    <t>310+850</t>
  </si>
  <si>
    <t>311+000</t>
  </si>
  <si>
    <t>316+000</t>
  </si>
  <si>
    <t>317+000</t>
  </si>
  <si>
    <t>1,1,1,1,1,1,1,1,1,1,1,1</t>
  </si>
  <si>
    <t>335+000</t>
  </si>
  <si>
    <t>336+000</t>
  </si>
  <si>
    <t>1,1,1,2</t>
  </si>
  <si>
    <t>364+423</t>
  </si>
  <si>
    <t>365+000</t>
  </si>
  <si>
    <t>1,1,1,1</t>
  </si>
  <si>
    <t>Р-22 "Каспий" а/д М-4 "Дон" Тамбов-Волгоград Астрахань (Подъезд к г. Саратову)</t>
  </si>
  <si>
    <t>662+000</t>
  </si>
  <si>
    <t>662+630</t>
  </si>
  <si>
    <t>несоблюдение бокового интервала, выезд на полосу встречного движения</t>
  </si>
  <si>
    <t>691+560</t>
  </si>
  <si>
    <t>692+540</t>
  </si>
  <si>
    <t>1,2,2,2</t>
  </si>
  <si>
    <t>превышение установленной скорости, выезд на полосу встречного движения</t>
  </si>
  <si>
    <t>716+000</t>
  </si>
  <si>
    <t>717+000</t>
  </si>
  <si>
    <t>выезд на полосу встречного движения, нарушение правил расположения ТС</t>
  </si>
  <si>
    <t>15, 08</t>
  </si>
  <si>
    <t>1. Установка дорожных знаков 3.20
2. Установить щит "Аварийно-опасный участок" на желтом фоне с применением дорожного знака 1.33 "Прочие опасности" и таблички 8.2.1 "Зона действия" 1 км (2 шт).
3. Нанесение разметки.</t>
  </si>
  <si>
    <t>Автомобильная дорога "Балашов - Ртищево"</t>
  </si>
  <si>
    <t>1, 1, 1</t>
  </si>
  <si>
    <t>1. Несоответствие скорости конкретным условиям движения
2. выезд на полосу встречного движения</t>
  </si>
  <si>
    <t>07, 08</t>
  </si>
  <si>
    <r>
      <t>1. Планировка обочин
2. Нанесение (восстановление) горизонтальной дорожной разметки. 
3.Устройс</t>
    </r>
    <r>
      <rPr>
        <b/>
        <sz val="16"/>
        <color rgb="FF000000"/>
        <rFont val="Arial Black"/>
        <family val="2"/>
        <charset val="204"/>
      </rPr>
      <t>т</t>
    </r>
    <r>
      <rPr>
        <sz val="16"/>
        <color rgb="FF000000"/>
        <rFont val="Arial Black"/>
        <family val="2"/>
        <charset val="204"/>
      </rPr>
      <t>во искусственного освещения</t>
    </r>
  </si>
  <si>
    <t>2019</t>
  </si>
  <si>
    <t>Выполнено</t>
  </si>
  <si>
    <t>Автомобильный мост Саратов-Энгельс</t>
  </si>
  <si>
    <t>3+133</t>
  </si>
  <si>
    <t>Устройство световозвращателей типа КД3-Б1</t>
  </si>
  <si>
    <t>Средства Регонального бюджета</t>
  </si>
  <si>
    <t>Автомобильная дорога "Самара - Пугачев - Энгельс - Волгоград"</t>
  </si>
  <si>
    <t>353+800</t>
  </si>
  <si>
    <t>354+500</t>
  </si>
  <si>
    <t>08</t>
  </si>
  <si>
    <t>353+000</t>
  </si>
  <si>
    <t>355+000</t>
  </si>
  <si>
    <t>1. Установка информационного знака "опасный   участок"
2. Нанесение (восстановление) горизонтальной дорожной разметки</t>
  </si>
  <si>
    <t>418+000</t>
  </si>
  <si>
    <t>419+000</t>
  </si>
  <si>
    <t>417+000</t>
  </si>
  <si>
    <t>420+000</t>
  </si>
  <si>
    <t>1. Установка информационного знака "опасный   участок". 
2. Нанесение (восстановление) горизонтальной дорожной разметки</t>
  </si>
  <si>
    <t>Автомобильная дорога "Тамбов - Ртищево - Саратов"</t>
  </si>
  <si>
    <t>153+500</t>
  </si>
  <si>
    <t>154+300</t>
  </si>
  <si>
    <t>153+000</t>
  </si>
  <si>
    <t>Нанесение (восстановление) горизонтальной дорожной разметки</t>
  </si>
  <si>
    <t>2020</t>
  </si>
  <si>
    <t>Дорога передана в федеральную собственность</t>
  </si>
  <si>
    <t>Автоподъезд к г.Саратову от а/д Сызрань-Саратов-Волгоград</t>
  </si>
  <si>
    <t>1, 1, 1, 1, 5, 5</t>
  </si>
  <si>
    <t>1. Нарушение правил маневрирования при перестроении и развороте, 
2. несоблюдение бокового интервала, 
3. нарушение правил проезда перекрестков, 
4. нарушение ПДД пешеходом</t>
  </si>
  <si>
    <t>1. Установка осевого барьерного дорожного ограждения
2. Строительство надземного пешеходного перехода</t>
  </si>
  <si>
    <t>5, 5, 5, 3</t>
  </si>
  <si>
    <t>нарушение ПДД пешеходами, наезд на стоящее ТС</t>
  </si>
  <si>
    <t>2+470</t>
  </si>
  <si>
    <t>6+225</t>
  </si>
  <si>
    <t>9+000</t>
  </si>
  <si>
    <t>Несоответствие скорости конкретным условиям движения, выезд на полосу встречного движения</t>
  </si>
  <si>
    <t>автомобильная дорога "Р-228 "Сызрань - Саратов - Волгоград" - Пристанное - Ершов - Озинки - граница с Республикой Казахстан"</t>
  </si>
  <si>
    <t>1,1, 3, 3, 91</t>
  </si>
  <si>
    <t>Выезд на полосу встречного движения, наезд на стоящее ТС, Несоответствие скорости конкретным условиям движения (съезд в кювет)</t>
  </si>
  <si>
    <t xml:space="preserve">Установка информационного знака "опасный   участок".       </t>
  </si>
  <si>
    <t>102+000</t>
  </si>
  <si>
    <t>1, 1, 1, 1, 2</t>
  </si>
  <si>
    <t>179+000</t>
  </si>
  <si>
    <t>180+000</t>
  </si>
  <si>
    <t>1, 2, 2, 91, 91</t>
  </si>
  <si>
    <t>02</t>
  </si>
  <si>
    <t>Ямочный ремонт покрытия проезжей части</t>
  </si>
  <si>
    <t>5,5,5,5,5,5,5</t>
  </si>
  <si>
    <t>08, 04, 00</t>
  </si>
  <si>
    <t>1 - Нанесение дорожной разметки 1.1, 1.3, 1.5, 1.14.1, 
2 - Своевременное удаление с покрытия проезжей части отложений от снега или снежного наката в соответствии с требованиями ГОСТ
3 - Установка аншлагов, информирующих водителей о приблежении к месту концентрации ДТП</t>
  </si>
  <si>
    <t>Мероприятия выполнены</t>
  </si>
  <si>
    <t>1,1,1,1,1,1,5,5</t>
  </si>
  <si>
    <t>проспект Ф. Энгельса</t>
  </si>
  <si>
    <t>д. 125</t>
  </si>
  <si>
    <t>5,5,5</t>
  </si>
  <si>
    <t>Мероприятия  выполнены</t>
  </si>
  <si>
    <t>ул. Трудовая д.2А</t>
  </si>
  <si>
    <t>д. 2А</t>
  </si>
  <si>
    <t xml:space="preserve">Соколовогорская </t>
  </si>
  <si>
    <t>д. 2</t>
  </si>
  <si>
    <t>д. 6</t>
  </si>
  <si>
    <t>1,1,1,1,5</t>
  </si>
  <si>
    <t>Неправильный выбор дистанции. 
Нарушение правил проезда пешеходного перехода.</t>
  </si>
  <si>
    <t>23,15,14,04</t>
  </si>
  <si>
    <t>1-Устройство освещения в необходимых местах в соответствии  с ГОСТ</t>
  </si>
  <si>
    <t>2-установка  знаков 5.19.1 и 5.19.2 со световозвращающей флуоресцентной пленкой желто-зеленого цвета и дублирующих дорожных знаков 5.19.1 и 5.19.2</t>
  </si>
  <si>
    <t>3- Реконструкция пешеходного  светофорного объекта, расположенного на перекрестке улиц Соколовогорская и 2 Соколовогорский проезд, регулирования транспортных и пешеходных потоков.</t>
  </si>
  <si>
    <t>4-Своевременное удаление с покрытия проезжей части отложений от снега или снежного наката в соответствии с требованиями ГОСТ</t>
  </si>
  <si>
    <t>1,1,5,5</t>
  </si>
  <si>
    <t>16, 15, 10, 16</t>
  </si>
  <si>
    <t>Переход презжей части в неустановленном месте. 
Нарушение правил проезда пешеходного перехода
Нарушение требований сигналов светофора</t>
  </si>
  <si>
    <t>08, 04, 15</t>
  </si>
  <si>
    <t>2-Своевременное удаление с покрытия проезжей части отложений от снега или снежного наката в соответствии с требованиями ГОСТ</t>
  </si>
  <si>
    <t>2 - Установка дорожного знака 5.19.1 повышенной информативности</t>
  </si>
  <si>
    <t>4</t>
  </si>
  <si>
    <t>Несоблюдение очередности проезда
Несоблюдение правил проезда перекрестка
Несоблюдение дистанции
Несоответствие скорости дорожным условиям</t>
  </si>
  <si>
    <t>14, 13, 00, 08, 10</t>
  </si>
  <si>
    <t>2021</t>
  </si>
  <si>
    <t>2022</t>
  </si>
  <si>
    <t>д.11е</t>
  </si>
  <si>
    <t>1,1,5,5,5,1</t>
  </si>
  <si>
    <t>Несоблюдение очередности проезда
Несоблюдение правил проезда перекрестка
Нарушение правил проезда пешеходного перехода</t>
  </si>
  <si>
    <t>08, 15, 08, 00</t>
  </si>
  <si>
    <t>5,5,1,1,1</t>
  </si>
  <si>
    <t>Несоблюдение очередности проезда
Несоблюдение правил проезда перекрестка
Нарушение правил проезда пешеходного перехода
Несоответствие скорости дорожным условиям</t>
  </si>
  <si>
    <t>10, 14, 15, 08, 15, 16</t>
  </si>
  <si>
    <t>5 - Установка дорожных знаков 5.19.1 повышенной информативности</t>
  </si>
  <si>
    <t>05, 15, 08, 00, 16, 08, 15</t>
  </si>
  <si>
    <t>2 - Установка дорожных знаков 5.19.1 повышенной информативности</t>
  </si>
  <si>
    <t>1,1,1,6</t>
  </si>
  <si>
    <t>00, 08, 15, 15, 14</t>
  </si>
  <si>
    <t>2023</t>
  </si>
  <si>
    <t>4 - Установка дорожных знаков 5.19.1 повышенной информативности</t>
  </si>
  <si>
    <t>1,1,5,5,5</t>
  </si>
  <si>
    <t xml:space="preserve">Нарушение правил проезда пешеходного перехода
 Несоблюдение очередности проезда
Переход пешехода вне пешеходного перехода
Иные нарушения пешеходов  </t>
  </si>
  <si>
    <t>18, 05, 10, 08</t>
  </si>
  <si>
    <t>3 - Организация дополнительного пешеходного перехода через проезжую часть ул. им.Н.Г.Чернышевского в районе пересечения с Тулупной ул.</t>
  </si>
  <si>
    <t>5, 1,1,1</t>
  </si>
  <si>
    <t>Нарушение правил проезда пешеходного перехода
Несоблюдение очередности проезда 
Несоответствие скорости дорожным условиям           
Другие нарушения ПДД водителем</t>
  </si>
  <si>
    <t>15, 08, 16</t>
  </si>
  <si>
    <t>1 - Установка дорожного знака 5.19.1 повышенной информативности</t>
  </si>
  <si>
    <t>5, 5, 4, 4</t>
  </si>
  <si>
    <t xml:space="preserve">Несоответствие скорости дорожным условиям
Выезд на полосу встречного движения 
Переход пешехода вне пешеходного перехода </t>
  </si>
  <si>
    <t>10, 08, 00</t>
  </si>
  <si>
    <t>1 - Организация наземного пешеходного перехода  в начале д. 20 вблизи остановки наземного пассажирского транспорта</t>
  </si>
  <si>
    <t>5,5,1,1</t>
  </si>
  <si>
    <t xml:space="preserve">Несоответствие скорости дорожным условиям
Несоблюдение дистанции
Переход пешехода вне пешеходного перехода </t>
  </si>
  <si>
    <t>10, 00, 08, 15, 15</t>
  </si>
  <si>
    <t>5 - Организация наземного пешеходного перехода в начале д. 9</t>
  </si>
  <si>
    <t xml:space="preserve">Несоответствие скорости дорожным условиям
Несоблюдение очередности проезда 
Несоблюдение дистанции    
Нарушение правил проезда пешеходного перехода  </t>
  </si>
  <si>
    <t>08, 00, 15, 08, 18, 05</t>
  </si>
  <si>
    <t>3 - Установка дорожных знаков 5.19.1 повышенной информативности</t>
  </si>
  <si>
    <t xml:space="preserve">Несоответствие скорости дорожным условиям
Несоблюдение очередности проезда 
Несоблюдение дистанции     </t>
  </si>
  <si>
    <t>15, 00, 08, 15</t>
  </si>
  <si>
    <t>4 - Изменение организации дорожного движения в узле: Ново-Астраханское ш - ул. Ясельная - Фруктовый пр-т - Фруктовый пр.  (отмена левого и правого поворотов на Ясельную ул. с возможностью организации на ней одностороннего движения в направлении Ново-Астраханского ш.</t>
  </si>
  <si>
    <t>д.21</t>
  </si>
  <si>
    <t>1,1,1,1,1,6</t>
  </si>
  <si>
    <t>Несоблюдение очередности проезда;
Нарушение правил перестроения
Неправильный выбор дистанции
Выезд на полосу встречного движения</t>
  </si>
  <si>
    <t>04, 26, 08, 00</t>
  </si>
  <si>
    <t>1-Своевременное удаление с покрытия проезжей части отложений от снега или снежного наката в соответствии с требованиями ГОСТ</t>
  </si>
  <si>
    <t>3- Приведение в соответствие люков смотровых колодцев и дождеприемников требованиям ГОСТ</t>
  </si>
  <si>
    <t>4 - Нанесение горизонтальной разметки в соответствии с требованиями ГОСТ</t>
  </si>
  <si>
    <t>1,5,5,1,1</t>
  </si>
  <si>
    <t>Несоблюдение очередности проезда 
Нарушение правил перестроения 
Несоблюдение дистанции 
Несоответствие скорости дорожным условиям      
Нарушение правил проезда пешеходного перехода</t>
  </si>
  <si>
    <t>14, 13, 08, 15, 16,08, 16</t>
  </si>
  <si>
    <t>1, 1, 1, 1, 3, 3</t>
  </si>
  <si>
    <t>Нарушение правил перестроения 
Несоблюдение дистанции 
Несоответствие скорости условиям
Несоблюдение очередности проезда</t>
  </si>
  <si>
    <t xml:space="preserve">14, 13, 08 </t>
  </si>
  <si>
    <t>8,5,5,5,5,5</t>
  </si>
  <si>
    <t>Несоответствие скорости условиям
Нарушение правил проезда пешеходного перехода</t>
  </si>
  <si>
    <t>08, 10, 10, 08, 16</t>
  </si>
  <si>
    <t>1, 8, 5, 5, 5, 5, 5</t>
  </si>
  <si>
    <t xml:space="preserve">Несоответствие скорости условиям
 Нарушение правил проезда пешеходного перехода 
Несоблюдение дистанции </t>
  </si>
  <si>
    <t>16, 10, 14, 08, 08, 08, 16,10</t>
  </si>
  <si>
    <t>1,1,1,1, 5,5,4,4,4</t>
  </si>
  <si>
    <t>Несоответствие скорости условиям 
Нарушение правил проезда пешеходного перехода 
Несоблюдение дистанции     
Нарушение правил перестроения очередности проезда</t>
  </si>
  <si>
    <t>14, 00, 05, 08, 16, 16, 08</t>
  </si>
  <si>
    <t>5,5,5,5</t>
  </si>
  <si>
    <t>10, 10, 16, 08, 10</t>
  </si>
  <si>
    <t>1, 1, 1, 5</t>
  </si>
  <si>
    <t>14, 16, 08, 15</t>
  </si>
  <si>
    <t xml:space="preserve">4 - Установка дорожных знаков 5.19.1 повышенной информативности </t>
  </si>
  <si>
    <t xml:space="preserve">пр.50 лет Октября </t>
  </si>
  <si>
    <t>д.116г</t>
  </si>
  <si>
    <t>д.115а</t>
  </si>
  <si>
    <t>1,1,1,1,8</t>
  </si>
  <si>
    <t>Несоблюдение очередности проезда
Неправильный выбор дистанции. 
Выезд на полосу встречного движения. 
Нарушения правил пользования общественным транспортом</t>
  </si>
  <si>
    <t>15, 08, 08, 16, 04</t>
  </si>
  <si>
    <t>1-Запрещение левых поворотов со всех нерегулируемых выездов, проездов, улиц с прилегающих территорий на участке пр. 50 лет Октября от д.116г до д.116а.</t>
  </si>
  <si>
    <t>3 - Нанесение дорожной разметки 1.24.2 , дублирующей запрещающие дорожные знаки 3.24 (40), а также 1.24.4</t>
  </si>
  <si>
    <t>4-Установка дорожных знаков 5.19.1 и 5.19.2. со  световозвращающей флуоресцентной пленкой желто-зеленого цвета</t>
  </si>
  <si>
    <t>5-Своевременное удаление с покрытия проезжей части отложений от снега или снежного наката в соответствии с требованиями ГОСТ</t>
  </si>
  <si>
    <t>5, 5, 8, 8, 8</t>
  </si>
  <si>
    <t>Нарушение правил проезда пешеходного перехода 
Несоблюдение дистанции   
Несоблюдение очередности проезда  
Переход в неустановленном месте               
Другие нарушения ПДД водителем</t>
  </si>
  <si>
    <t>16, 08, 24</t>
  </si>
  <si>
    <t>3 - Устройство дополнительного освещения зоны пешеходных переходов через пр-т им.50 лет Октября</t>
  </si>
  <si>
    <t>1,1,1,5,5</t>
  </si>
  <si>
    <t xml:space="preserve">Нарушение правил проезда пешеходного перехода 
Несоблюдение дистанции   
Несоблюдение очередности проезда  
Переход в неустановленном месте  </t>
  </si>
  <si>
    <t>14, 15, 08, 16</t>
  </si>
  <si>
    <t>5, 5, 1, 1, 1, 1</t>
  </si>
  <si>
    <t xml:space="preserve">Несоблюдение очередности проезда 
Несоответствие скорости дорожным условиям          
Переход в неустановленном месте              
Нарушение правил проезда пешеходного перехода           
Несоблюдение дистанции    </t>
  </si>
  <si>
    <t>15, 08, 08, 16, 15</t>
  </si>
  <si>
    <t xml:space="preserve">Международная </t>
  </si>
  <si>
    <t>д.8а</t>
  </si>
  <si>
    <t>Другие нарушения ПДД водителем
Непосредственные нарушения отсутствуют.</t>
  </si>
  <si>
    <t>18, 04, 10, 15</t>
  </si>
  <si>
    <t xml:space="preserve">1-Установка пешеходных ограждений для предотвращения перехода пешеходами проезжей части в опасных местах.  </t>
  </si>
  <si>
    <t>3-Провести работы по  обустройству остановочного пункта общественного пассажирского транспорта</t>
  </si>
  <si>
    <t>4-Установка  дорожных знаков в соответствии с проектом организации дорожного движения</t>
  </si>
  <si>
    <t>ул.Делова</t>
  </si>
  <si>
    <t>д.2б/1</t>
  </si>
  <si>
    <t>д.18</t>
  </si>
  <si>
    <t>Переход через проезжую часть в неустановленном месте. 
Нарушение правил проезда пешеходного перехода
Несоблюдение условий, разрешающих движение задним ходом.</t>
  </si>
  <si>
    <t>08, 04, 14</t>
  </si>
  <si>
    <t>1 - Желтое наполнение дорожной разметки 1.14.1</t>
  </si>
  <si>
    <t>3-Устранение неисправностей светофора</t>
  </si>
  <si>
    <t>8,8,5,5,5</t>
  </si>
  <si>
    <t xml:space="preserve">Нарушение правил проезда пешеходного перехода           
Несоблюдение дистанции    </t>
  </si>
  <si>
    <t>10, 05, 15,08, 18, 15, 16, 08</t>
  </si>
  <si>
    <t>1, 1, 1, 1, 5</t>
  </si>
  <si>
    <t xml:space="preserve">Несоблюдение требований сигналов светофора 
Несоблюдение дистанции     
Нарушение правил проезда пешеходного перехода 
Несоответствие скорости дорожным условиям         </t>
  </si>
  <si>
    <t>00, 14, 15, 08, 16</t>
  </si>
  <si>
    <t>14, 05, 15, 08, 16</t>
  </si>
  <si>
    <t>08, 23</t>
  </si>
  <si>
    <t>1,1,1,1,1</t>
  </si>
  <si>
    <t xml:space="preserve">Несоответствие скорости дорожным условиям    
Несоблюдение дистанции 
Несоблюдение очередности проезда </t>
  </si>
  <si>
    <t>05, 00, 08, 16</t>
  </si>
  <si>
    <t>1,1,4,4,</t>
  </si>
  <si>
    <t xml:space="preserve">Нарушение требований сигналов светофора; 
Несоблюдение дистанции   </t>
  </si>
  <si>
    <t>14, 10, 24, 08</t>
  </si>
  <si>
    <t>1,1,1,5,5,5</t>
  </si>
  <si>
    <t xml:space="preserve"> Переход в неустановленном месте      
Несоблюдение дистанции 
Несоблюдение очередности проезда.</t>
  </si>
  <si>
    <t>05, 16, 08, 08</t>
  </si>
  <si>
    <t xml:space="preserve">1, 1, 4, 5, 5, 5, 8 </t>
  </si>
  <si>
    <t>18, 10, 08, 16, 05, 05</t>
  </si>
  <si>
    <t>2- Перенос остановочного пункта "Торговый центр" при следовании по пр-ту им.50 лет Октября к пл. Ленина на 10-15м по ходу движения для организации наземного регулируемого пешеходного перехода</t>
  </si>
  <si>
    <t>5 - Проведение локально-реконструктивных мероприятий по переустройству бортового камня на пр-те им.50 лет Октября между проезжими частями 3-й Дачной ул. для обособления мачт наружного освещения от проезжей части</t>
  </si>
  <si>
    <t>Несоответствие скорости дорожным условиям          
Несоблюдение дистанции  
Несоблюдение очередности проезда</t>
  </si>
  <si>
    <t>10, 15, 08, 00</t>
  </si>
  <si>
    <t>д.7</t>
  </si>
  <si>
    <t>Нарушение правил проезда пешеходного перехода;
Переход проезжей части в неустановленном месте</t>
  </si>
  <si>
    <t>14, 08, 08, 00, 08, 15, 04</t>
  </si>
  <si>
    <t>6 - Установка дорожных знаков 5.19.1 повышенной информативности</t>
  </si>
  <si>
    <t>7 - Своевременное удаление с проезжей части отложений от снега или снежного наката</t>
  </si>
  <si>
    <t xml:space="preserve">ул. Антонова </t>
  </si>
  <si>
    <t>д.23</t>
  </si>
  <si>
    <t>д.25а</t>
  </si>
  <si>
    <t>5,5,5,5,1</t>
  </si>
  <si>
    <t>Нарушение правил проезда пешеходного перехода</t>
  </si>
  <si>
    <t>15, 08, 26</t>
  </si>
  <si>
    <t>1 - Установка дорожных знаков 5.19.1 повышенной информативности</t>
  </si>
  <si>
    <t>2- Приведение в соответствие люков смотровых колодцев и дождеприемников требованиям ГОСТ</t>
  </si>
  <si>
    <t>15, 08, 00, 05</t>
  </si>
  <si>
    <t>д.113</t>
  </si>
  <si>
    <t>5,5,5,1,1,1</t>
  </si>
  <si>
    <t>Нарушение правил проезда пешеходного перехода
Несоблюдение очередности проезда
Нарушение правил перестроения</t>
  </si>
  <si>
    <t>08, 16</t>
  </si>
  <si>
    <t>1 - Нанесение дорожной разметки 1.12 на Московском ш. в соответствии с требованиями ГОСТ</t>
  </si>
  <si>
    <t>1,1,1,4,5,5</t>
  </si>
  <si>
    <t>Несоблюдение очередности проезда  
Несоблюдение дистанции     
Нарушение правил проезда пешеходного перехода</t>
  </si>
  <si>
    <t>05, 09, 16</t>
  </si>
  <si>
    <t xml:space="preserve">1, 1, 1, 1, 1, 1 </t>
  </si>
  <si>
    <t>14, 05, 16</t>
  </si>
  <si>
    <t xml:space="preserve">Пр-т Строителей </t>
  </si>
  <si>
    <t>д.42в</t>
  </si>
  <si>
    <t>д.44/1</t>
  </si>
  <si>
    <t>Неподчинение сигналам регулирования (пешеход). 
Несоблюдение очередности проезда</t>
  </si>
  <si>
    <t>13, 15, 16</t>
  </si>
  <si>
    <t xml:space="preserve">1-Изменение режима работы светофора по увеличению времени пропуска транспорта , двигающегося с левым поворотом с улицы Антонова  на проспект Строителей (основную и дублер). </t>
  </si>
  <si>
    <t>2-Установка  дорожных знаков в соответствии с проектом организации дорожного движения</t>
  </si>
  <si>
    <t>д.37б</t>
  </si>
  <si>
    <t>Неподчинение сигналам регулирования (пешеход).
Другие нарушения ПДД Водителем.</t>
  </si>
  <si>
    <t>15, 08, 04</t>
  </si>
  <si>
    <t>3-Своевременное удаление с покрытия проезжей части отложений от снега или снежного наката в соответствии с требованиями ГОСТ</t>
  </si>
  <si>
    <t>д.25</t>
  </si>
  <si>
    <t>5,5,5,1,1,1,1,6</t>
  </si>
  <si>
    <t>Неподчинение сигналам регулирования (пешеход). 
Нарушение правил проезда решеходного перехода
Нарушение правил стоянки и остановки. 
Нарушение правил перестроения. 
Выезд на полосу встречного движения. 
Неправильный выбор дистанции. 
Превышение установленной скорости.</t>
  </si>
  <si>
    <t>04, 16, 08</t>
  </si>
  <si>
    <t>5, 5, 5, 1, 1, 1, 1</t>
  </si>
  <si>
    <t xml:space="preserve">Несоблюдение очередности проезда;  
Нарушение правил проезда пешеходного перехода.   
Нарушение правил перестроения   </t>
  </si>
  <si>
    <t>00, 08, 15, 10, 10, 15, 08</t>
  </si>
  <si>
    <t>2024</t>
  </si>
  <si>
    <t>3 - Установка дорожного знака 2.1 по ул. им. К.Ф.Тархова перед пересечением с ул. им. В.И.Лебедева-Кумача при движении от пр-та Строителей, обеспечение видимости установленного справа дорожного знака 5.19.1 повышенной информативности, установка дорожного знака 5.19.1 повышенной информативности</t>
  </si>
  <si>
    <t>4 - Проведение локально-реконструктивных работ по устройству тротуара между проезжими частями ул. им. К.Ф.Тархова в месте разворота после перекрестка с корректировкой (уменьшением) зоны пешеходных переходов, заменой знаков 5.19.1(2) на знаки повышенной информативности и установкой знаков 5.19.1</t>
  </si>
  <si>
    <t xml:space="preserve">Нарушение правил перестроения; 
Нарушение правил проезда пешеходного перехода. 
Несоблюдение дистанции     </t>
  </si>
  <si>
    <t>05, 13, 08, 16, 15</t>
  </si>
  <si>
    <t>ул. Тархова от Уфимцева до Батавина</t>
  </si>
  <si>
    <t>д.27</t>
  </si>
  <si>
    <t>д.31б</t>
  </si>
  <si>
    <t>5,5,5,1,1,1,3</t>
  </si>
  <si>
    <t>Переход проезжей части в неустановленном месте 
Несоблюдение условий, разрешающих движение задним ходом. 
Неподчинение сигналам регулирования (пешеход). 
Ннесоблюдение очередности проезда. 
Нарушение правил перестроения. 
Нарушение правил расположения ТС на проезжей части.</t>
  </si>
  <si>
    <t>15, 26</t>
  </si>
  <si>
    <t>ул. Тархова</t>
  </si>
  <si>
    <t>перекресток с ул. Кузнецова</t>
  </si>
  <si>
    <t>Нарушение правил перестроения. 
Несоблюдение очередности проезда</t>
  </si>
  <si>
    <t>1-Установка  дорожных знаков в соответствии с проектом организации дорожного движения</t>
  </si>
  <si>
    <t>2 - Нанесение горизонтальной разметки в соответствии с требованиями ГОСТ</t>
  </si>
  <si>
    <t xml:space="preserve">ул. Топольчанская </t>
  </si>
  <si>
    <t>д.5а</t>
  </si>
  <si>
    <t>Несоблюдение очередности проезда.
Другие нарушения ПДД водителем.</t>
  </si>
  <si>
    <t>24, 04, 15, 08</t>
  </si>
  <si>
    <t xml:space="preserve">1-Улучшение существующего освещения указанного участка для сокращения уровня аварийности и травматизма в темное время. </t>
  </si>
  <si>
    <t>3-Установка  дорожных знаков в соответствии с проектом организации дорожного движения</t>
  </si>
  <si>
    <t>4- Нанесение горизонтальной разметки в соответствии с требованиями ГОСТ</t>
  </si>
  <si>
    <t>пр-т Строителей (перекресток ул.Тархова)</t>
  </si>
  <si>
    <t>д.88</t>
  </si>
  <si>
    <t>5,5,5,1,1,1,1</t>
  </si>
  <si>
    <t>Нарушение правил проезда пешеходного перехода
Несоблюдение очередности проезда. 
Нарушения правил перестроения.</t>
  </si>
  <si>
    <t>08, 15, 08</t>
  </si>
  <si>
    <t>1- Нанесение горизонтальной разметки в соответствии с требованиями ГОСТ</t>
  </si>
  <si>
    <t>1, 1,6,4,4,5,5,5,5</t>
  </si>
  <si>
    <t>Нарушение правил проезда пешеходного перехода;          
Переход в неустановленном месте          
Нарушение правил перестроения;  
Несоблюдение дистанции   
Нарушение правил остановки и стоянки.</t>
  </si>
  <si>
    <t>10, 15, 16, 15, 14</t>
  </si>
  <si>
    <t>8 - Установка дорожных знаков 5.19.1 повышенной информативности</t>
  </si>
  <si>
    <t>3,1,1,1,1,4,4</t>
  </si>
  <si>
    <t>Несоблюдение дистанции    
Нарушение правил перестроения;   
Нарушение правил остановки и стоянки.</t>
  </si>
  <si>
    <t>1 - Нанесение дорожной разметки 1.1 и 1.16.3 с корректировкой разметки 1.13 в месте слияния транспортных потоков у д. 30 по ул. им.А.П.Шехурдина</t>
  </si>
  <si>
    <t>2 - Проведение локально-реконструктивных мероприятий по обустройству направляющих островков в бортовом камне и переразметке проезжей части ул. Ипподромная в районе д.д. 26 и 28 по ул. им.А.П.Шехурдина для обеспечения безопасного маневрирования и организации дополнительной полосы для левого поворота с Ипподромной ул. на ул. им.А.П.Шехурдина в направлении пр-та Строителей, а также уширению проезжей части у д. 26 при выезде с ул. им.А.П.Шехурдина в направлении ул. им.В.П.Чкалова</t>
  </si>
  <si>
    <t>3 - Установка в полном объеме дорожных знаков 4.2.1-3 и 8.22.1-3 в зоне пересечения</t>
  </si>
  <si>
    <t xml:space="preserve">4 - Проведение локально-реконструктивных мероприятий по обустройству направляющего островка в бортовом камне на ул. им.А.П.Шехурдина в месте разворота у д. 26Б  </t>
  </si>
  <si>
    <t>5 - Введение ограничений скоростного режима до 40 км/ч на участке ул. им.А.П.Шехурдина при движении от ул. Техническая за 100м до пересечения</t>
  </si>
  <si>
    <t>6 - Установка комплексов фотовидеофиксации нарушений установленного и предлагаемого скоростного режима (40 км/ч) по ул. им. А.П.Шехурдина в обоих направлениях</t>
  </si>
  <si>
    <t>7 - Нанесение дорожной разметки 1.24.2 , дублирующей запрещающие дорожные знаки 3.24 (40) по ул. им. А.П.Шехурдина, а также разметки 1.24.4</t>
  </si>
  <si>
    <t>д.2/4</t>
  </si>
  <si>
    <t>Несоблюдение очередности проезда 
Нарушение требований сигналов светофора
Другие нарушения ПДД водителем</t>
  </si>
  <si>
    <t>04, 08, 15</t>
  </si>
  <si>
    <t xml:space="preserve">1-Своевременное удаление с покрытия проезжей части отложения от снега </t>
  </si>
  <si>
    <t>2 - Нанесение дорожной разметки в соответствии с требованием ГОСТ</t>
  </si>
  <si>
    <t>3-Утановка дорожных знаков в соответствии с проектом организации дорожного движения</t>
  </si>
  <si>
    <t>д.30</t>
  </si>
  <si>
    <t>Нарушение правил перестроения
Выезд на полосу встречного движения
Неправильный выбор дистанции
Нахождение на проезжей части без чели ее пересечения
Иные нарушения ПДД пешеходом</t>
  </si>
  <si>
    <t>08, 16, 16, 08, 04</t>
  </si>
  <si>
    <t xml:space="preserve">5-Своевременное удаление с покрытия проезжей части отложения от снега </t>
  </si>
  <si>
    <t>Московское шоссе</t>
  </si>
  <si>
    <t>д.30/1</t>
  </si>
  <si>
    <t>1,1,1,1,1,1,1,5</t>
  </si>
  <si>
    <t>Неправильный выбор дистанции. 
Выезд на полосу встречного движения. 
Несоблюдение очередности проезда. 
Нарушение требований сигналов СО. 
Неподчинение сигналам регулирования (пешеход)</t>
  </si>
  <si>
    <t>2- Нанесение горизонтальной разметки в соответствии с требованиями ГОСТ</t>
  </si>
  <si>
    <t>10, 05, 08</t>
  </si>
  <si>
    <t xml:space="preserve">5, 5, 5, 5, 5, 5, 5 </t>
  </si>
  <si>
    <t>14, 10, 16, 08, 15</t>
  </si>
  <si>
    <t>1, 1, 1, 8, 5, 5</t>
  </si>
  <si>
    <t>14, 13, 08, 15, 05, 05</t>
  </si>
  <si>
    <t xml:space="preserve">5. Ликвидация парковочного кармана на ул. Советская у д.49 или обеспечение действенного контроля за установленным способом постановки транспорта на парковку (параллельно проезжей части). </t>
  </si>
  <si>
    <t>6. Ликвидация парковочного кармана на ул. им.В.И.Чапаева у д.52 со способом постановки транспорта под углом к проезжей части, с рассмотрением возможности переноса в данное место остановки маршрутного транспорта "ул. Советская", расположенной перед перекрестком.</t>
  </si>
  <si>
    <t>1,1,1,6,6,5,5</t>
  </si>
  <si>
    <t>14, 13, 15, 16, 08, 08, 00</t>
  </si>
  <si>
    <t xml:space="preserve">1, 5, 5, 5, 1, 5 </t>
  </si>
  <si>
    <t>05, 10, 08, 15, 16, 08, 15, 15</t>
  </si>
  <si>
    <t>7 - Установка дорожных знаков 5.19.1 повышенной информативности</t>
  </si>
  <si>
    <t>5,5,5,1,6</t>
  </si>
  <si>
    <t xml:space="preserve">2 - Установка дорожных знаков 5.19.1 повышенной информативности </t>
  </si>
  <si>
    <t>1,1,5,6</t>
  </si>
  <si>
    <t>05, 15, 08, 16</t>
  </si>
  <si>
    <t>д.144/148</t>
  </si>
  <si>
    <t>д.148</t>
  </si>
  <si>
    <t>16, 08</t>
  </si>
  <si>
    <t>перекресток Н.Астраханское шоссе</t>
  </si>
  <si>
    <t>15, 15, 08, 16</t>
  </si>
  <si>
    <t>2- Установка дорожных знаков 5.19.1 повышенной информативности</t>
  </si>
  <si>
    <t>114+000</t>
  </si>
  <si>
    <t>115+000</t>
  </si>
  <si>
    <t>Выезд на полосу встречного движения, несоблюдени е очередности проезда, нарушение правил обгона</t>
  </si>
  <si>
    <t>1. Установить щиты "Аварийно-опасный участок" на желтом фоне, с применением дорожного знака 1.33 "Прочие опасности" и знака дополнительной информации (таблички) 8.2.1 "Зона действия" (2 шт).
2. Нанести шумовые полосы.</t>
  </si>
  <si>
    <t>173+000</t>
  </si>
  <si>
    <t>174+000</t>
  </si>
  <si>
    <t>Нарушение правил обгона</t>
  </si>
  <si>
    <t>1. Установить щиты "Аварийно-опасный участок" на желтом фоне, с применением дорожного знака 1.33 "Прочие опасности" и знака дополнительной информации (таблички) 8.2.1 "Зона действия" (2 шт). 
2. Нанести шумовые полосы.</t>
  </si>
  <si>
    <t>280+000</t>
  </si>
  <si>
    <t>281+000</t>
  </si>
  <si>
    <t>Нарушение правил перестроения, нарушение правил расположения ТС на проезжей части</t>
  </si>
  <si>
    <t xml:space="preserve">1. Заменить дорожные знаки 2.3.1 "Пересечение со второстепенной дорогой" (2 шт) на дорожные знаки с применением световозвращающей флуоресцентной пленки желто-зеленого цвета. 
2. Нанести шумовые полосы на подходах к перекрестку. </t>
  </si>
  <si>
    <t>288+000</t>
  </si>
  <si>
    <t>289+000</t>
  </si>
  <si>
    <t>1,1,1,1,5,5</t>
  </si>
  <si>
    <t>Нарушение правил обгона, неправильный выбор дистанции</t>
  </si>
  <si>
    <t xml:space="preserve">1. Заменить дорожные знаки 2.3.1 "Пересечение со второстепенной дорогой" (2 шт), 2.3.2 (2.3.3) "Примыкание второстепенной дороги", 3.20 "Обгон запрещен" (2 шт) на дорожные знаки с применением световозвращающей флуоресцентной пленки желто-зеленого цвета. 
2. Нанести шумовые полосы на подходах к нерегулируемому пешеходному переходу. </t>
  </si>
  <si>
    <t>1,1,1,1,2</t>
  </si>
  <si>
    <t>Выезд на полосу встречного движения, нарушение правил расположения ТС на проезжей части</t>
  </si>
  <si>
    <t>1. Установить щит "Аварийно-опасный участок" на желтом фоне с применением дорожного знака 1.33 "Прочие опасности" и таблички 8.2.1 "Зона действия" 1 км (2 шт).
2. Нанести шумовые полосы.</t>
  </si>
  <si>
    <t>317+000 - перекресток, пересечение федеральной автомобильной дороги Р-228 Сызрань-Саратов-Волгоград и областной автодороги Елшанка - Песчаный Умет</t>
  </si>
  <si>
    <t>1,1,1,1,1,1,1,1,1,1,5</t>
  </si>
  <si>
    <t>Несоблюдение очередности проезда, нарушение правил расположения</t>
  </si>
  <si>
    <t>1. Укладка выравнивающего и одного дополнительно слоя,
2.  Нанесение временной и постоянной горизонтальной разметки, укрепление обочин.
3. Устройство освещения на прекрестке.</t>
  </si>
  <si>
    <t>334+110</t>
  </si>
  <si>
    <t>334+700</t>
  </si>
  <si>
    <t xml:space="preserve">1. Установить щиты "Аварийно-опасный участок" на желтом фоне, с применением дорожного знака 1.33 "Прочие опасности" и знака дополнительной информации (таблички) 8.2.1 "Зона действия" (2 шт). </t>
  </si>
  <si>
    <t>341+000</t>
  </si>
  <si>
    <t>341+981</t>
  </si>
  <si>
    <t>356+000</t>
  </si>
  <si>
    <t xml:space="preserve">Заменить дорожные знаки 1.11.1 (1.11.2) "Опасный поворот" (2 шт), 3.20 "Обгон запрещен" на дорожные знаки с применением световозвращающей флуоресцентной пленки желто-зеленого цвета.  </t>
  </si>
  <si>
    <t>Р-158 Нижний Новгород-Арзамас-Исса-Пенза-Саратов</t>
  </si>
  <si>
    <t>586+550</t>
  </si>
  <si>
    <t>587+312</t>
  </si>
  <si>
    <t>Выезд на полосу встречного движения, несоблюдение очередности проезда</t>
  </si>
  <si>
    <t>1. Установить щиты "Аварийно-опасный участок" на желтом фоне, с применением дорожного знака 1.33 "Прочие опасности" и знака дополнительной информации (таблички) 8.2.1 "Зона действия" (2 шт)
2. Нанести шумовые полосы.</t>
  </si>
  <si>
    <t>Р-22 "Каспий" а/д М-4 "Дон" Тамбов-Волгоград-Астрахань</t>
  </si>
  <si>
    <t>663+200</t>
  </si>
  <si>
    <t>664+220</t>
  </si>
  <si>
    <t>Неправильный выбор дистанции</t>
  </si>
  <si>
    <t>Не планировали. Указанная федеральная автомобильная дорога Р-22 "Каспий" а/д М-4 "Дон" Тамбов-Волгоград-Астрахань была передана на баланс ФКУ "Поволжуправтодор" 01.02.2018 года</t>
  </si>
  <si>
    <t>9+280</t>
  </si>
  <si>
    <t>10+030</t>
  </si>
  <si>
    <t>1, 1, 1, 2, 6</t>
  </si>
  <si>
    <t>1. Несоответствие скорости конкретным условиям движения, 
2. выезд на полосу встречного движения,
3. управление ТС в алкогольном опьянении</t>
  </si>
  <si>
    <t>00, 08</t>
  </si>
  <si>
    <t>1. Установка информационного знака "опасный   участок".
2. Нанесение (восстановление) горизонтальной дорожной разметки</t>
  </si>
  <si>
    <t>102+780</t>
  </si>
  <si>
    <t>103+780</t>
  </si>
  <si>
    <t>1, 1, 2, 2, 2</t>
  </si>
  <si>
    <t>1. Несоответствие скорости конкретным условиям движения, 
2. съезд в кювет, 
3. нарушение правил маневрирования при развороте, 
4. несоблюдение дистанции, 
5. нарушение правил пользования световыми приборами</t>
  </si>
  <si>
    <t>104+000</t>
  </si>
  <si>
    <t>213+000</t>
  </si>
  <si>
    <t>214+000</t>
  </si>
  <si>
    <t>1, 2, 2, 2</t>
  </si>
  <si>
    <t>Несоответствие скорости конкретным условиям движения, съезд в кювет, нарушение правил проезда перекрестков</t>
  </si>
  <si>
    <t>266+180</t>
  </si>
  <si>
    <t>267+170</t>
  </si>
  <si>
    <t>1, 1, 1, 1, 3</t>
  </si>
  <si>
    <t>Несоответствие скорости конкретным условиям движения, выезд на полосу встречного движения, управление ТС в А/О или Н/О</t>
  </si>
  <si>
    <t>266+000</t>
  </si>
  <si>
    <t>268+000</t>
  </si>
  <si>
    <t>326+780</t>
  </si>
  <si>
    <t>327+600</t>
  </si>
  <si>
    <t>несоблюдение бокового интервала, нарушение ПДД пешеходом, нарушение правил проезда перекрестков</t>
  </si>
  <si>
    <t>08, 07</t>
  </si>
  <si>
    <t>1.Устройство искусственного освещения
2. Нанесение (восстановление) горизонтальной дорожной разметки
3. Планировка обочин</t>
  </si>
  <si>
    <t>389+000</t>
  </si>
  <si>
    <t>390+000</t>
  </si>
  <si>
    <t>Несоответствие скорости конкретным условиям движения, несоблюдение дистанции</t>
  </si>
  <si>
    <t>391+000</t>
  </si>
  <si>
    <t>392+000</t>
  </si>
  <si>
    <t>1, 1, 1, 1, 1</t>
  </si>
  <si>
    <t>Нарушение правил маневрирования при развороте и перестроении, нарушение правил проезда перекрестков</t>
  </si>
  <si>
    <t>5, 5, 5</t>
  </si>
  <si>
    <t>Несоответствие скорости конкретным условиям движения, нарушение ПДД пешеходом</t>
  </si>
  <si>
    <t>00, 08, 08</t>
  </si>
  <si>
    <t>258+000</t>
  </si>
  <si>
    <t>258+800</t>
  </si>
  <si>
    <t>1, 1, 1, 2</t>
  </si>
  <si>
    <t>Несоответствие скорости конкретным условиям движения, выезд на полосу встречного движения, сон за рулем, нарушение правил обгона, несоблюдение дистанции</t>
  </si>
  <si>
    <t>259+000</t>
  </si>
  <si>
    <t xml:space="preserve">Несоответствие скорости конкретным условиям движения, нарушение правил маневрирования при развороте, несоблюдение дистанции </t>
  </si>
  <si>
    <t>68+150</t>
  </si>
  <si>
    <t>69+050</t>
  </si>
  <si>
    <t>Несоответствие скорости конкретным условиям движения, выезд на полосу встречного движения, нарушение правил маневрирования, несоблюдение бокового интервала</t>
  </si>
  <si>
    <t>68+000</t>
  </si>
  <si>
    <t>4+550</t>
  </si>
  <si>
    <t>Нарушение правил маневрирования при перестроении и развороте, несоблюдение бокового интервала, нарушение правил проезда перекрестков, нарушение ПДД пешеходом, несоблюдение дистанции и бокового интервала</t>
  </si>
  <si>
    <t>08, 08, 00</t>
  </si>
  <si>
    <t>5+060</t>
  </si>
  <si>
    <t>6+050</t>
  </si>
  <si>
    <t>1, 1, 1, 1, 1, 5, 5</t>
  </si>
  <si>
    <t>Несоответствие скорости конкретным условиям движения, несоблюдение дистанции, нарушение правил проезда перекрестков, нарушение ПДД пешеходом, непредоставление водителем преимущества в движении пешеходам</t>
  </si>
  <si>
    <t>10+150</t>
  </si>
  <si>
    <t>10+540</t>
  </si>
  <si>
    <t>ул. Полиграфическая</t>
  </si>
  <si>
    <t>10, 08, 00, 00</t>
  </si>
  <si>
    <t xml:space="preserve">1.Перенос остановочного павильона для маршрутных транспортных средств, установка дублирующих дорожных знаков 5.19.1, 5.19.2 над проехжей частью дороги, 
2. Нанесение дорожной разметки 1.1, 1.3, 1.5, 1.14.1, 
3. Установка стационарных камер фотофиксации нарушений ПДД, 
4. Установка аншлагов, информирующих водителей о приблежении к месту концентрации ДТП, 
 </t>
  </si>
  <si>
    <t xml:space="preserve"> ул. Гагарина</t>
  </si>
  <si>
    <t>5,5,5,5,5</t>
  </si>
  <si>
    <t>15, 08, 00, 00, 05</t>
  </si>
  <si>
    <t xml:space="preserve">
1. Установка дублирующих дорожных знаков 5.19.1, 5.19.2 над проезжей частью дороги, 
2. Нанесение дорожной разметки 1.1, 1.5, 1.14.1, 
3. Установка стационарных камер фотофиксации нарушений ПДД, 
4. Установка аншлагов, информирующих водителей о приблежении к месту концентрации ДТП, 
5. Устройство принудительного снижения скорости "искусственная неровность". </t>
  </si>
  <si>
    <t>пр-т Ф. Энгельса</t>
  </si>
  <si>
    <t xml:space="preserve">
1. Нанесение дорожной разметки 1.1, 1.3, 1.5, 1.14.1, 
2. Установка аншлагов, информирующих водителей о приблежении к месту концентрации ДТП</t>
  </si>
  <si>
    <t>ул. Колотилова</t>
  </si>
  <si>
    <t>3,3,3</t>
  </si>
  <si>
    <t>18, 15, 08, 00, 00</t>
  </si>
  <si>
    <t xml:space="preserve">1. Установка пешеходных ограждений, 
2. Установка дублирующих дорожных знаков 5.19.1, 5.19.2 над проезжей частью дороги, 
3. Нанесение дорожной разметки 1.5, 1.14.1.
4. Установка аншлагов, информирующих водителей о приблежении к месту концентрации ДТП 5.Установка стационарных камер фотофиксации нарушений ПДД, </t>
  </si>
  <si>
    <t>ул. Тихая</t>
  </si>
  <si>
    <t>14, 08, 00</t>
  </si>
  <si>
    <t>1. Обустройство нерегулируемого перекрестка транспортным светофором, 
2. Нанесение дорожной разметки 1.1, 1.14.1, 1.5, 
3. Установка аншлагов, информирующих водителей о приблежении к месту концентрации ДТП</t>
  </si>
  <si>
    <t>Нарушение правил проезда пешеходного перехода;
Переход в неустановленном месте     
Несоблюдение очередности проезда..</t>
  </si>
  <si>
    <t>16,15,05,16</t>
  </si>
  <si>
    <t>2018</t>
  </si>
  <si>
    <t>5,5,5,1,1</t>
  </si>
  <si>
    <t>Нарушение правил проезда пешеходного перехода 
Несоблюдение очередности проезда 
Переход в неустановленном месте</t>
  </si>
  <si>
    <t>08,15,16,05</t>
  </si>
  <si>
    <t>15,16,08</t>
  </si>
  <si>
    <t xml:space="preserve">1 - Введение ограничений на остановку-стоянку транспортных средств в местах установки предлагаемых пешеходных ограждений на расстоянии 50м от (до) перекрестка </t>
  </si>
  <si>
    <t>4 - Желтое наполнение дорожной разметки 1.14.1 по периметру перекрестка, нанесение разметки 1.24.4</t>
  </si>
  <si>
    <t>Несоблюдение очередности проезда 
Несоблюдение правил проезда перекрестка 
Несоблюдение дистанции 
Несоответствие скорости дорожным условиям</t>
  </si>
  <si>
    <t>14,13,08,10</t>
  </si>
  <si>
    <t>1,1,5,5,1</t>
  </si>
  <si>
    <t>Несоблюдение очередности проезда
Несоблюдение правил проезда перекрестка 
Нарушение правил проезда пешеходного перехода</t>
  </si>
  <si>
    <t>08,15,08,</t>
  </si>
  <si>
    <t>5, 5, 1, 1, 1</t>
  </si>
  <si>
    <t>Несоблюдение очередности проезда 
Несоблюдение правил проезда перекрестка 
Нарушение правил проезда пешеходного перехода 
Несоответствие скорости дорожным условиям</t>
  </si>
  <si>
    <t>10,14,15,08,15,16</t>
  </si>
  <si>
    <t>1, 4, 4, 4, 4</t>
  </si>
  <si>
    <t xml:space="preserve">Несоответствие скорости дорожным условиям;
Несоблюдение очередности проезда. 
Несоблюдение правил проезда перекрестка </t>
  </si>
  <si>
    <t>05,15,08</t>
  </si>
  <si>
    <t>05,15,08,16,08,15</t>
  </si>
  <si>
    <t>1, 1, 1, 6</t>
  </si>
  <si>
    <t>Несоблюдение очередности проезда;
Нарушение требований сигналов светофора. 
Несоответствие скорости дорожным условиям</t>
  </si>
  <si>
    <t>08,15, 16,14</t>
  </si>
  <si>
    <t>1, 1, 5, 5, 5</t>
  </si>
  <si>
    <t xml:space="preserve">Нарушение правил проезда пешеходного перехода  
Несоблюдение очередности проезда  
Переход пешехода вне пешеходного перехода 
Иные нарушения пешеходов  </t>
  </si>
  <si>
    <t>18,05,10,08</t>
  </si>
  <si>
    <t>5, 1, 1, 1</t>
  </si>
  <si>
    <t>Нарушение правил проезда пешеходного перехода 
Несоблюдение очередности проезда 
Несоответствие скорости дорожным условиям           
Другие нарушения ПДД водителем</t>
  </si>
  <si>
    <t>15,08,16</t>
  </si>
  <si>
    <t xml:space="preserve">Несоответствие скорости дорожным условиям            
Выезд на полосу встречного движения 
Переход пешехода вне пешеходного перехода </t>
  </si>
  <si>
    <t>10,15,08,</t>
  </si>
  <si>
    <t xml:space="preserve">Несоответствие скорости дорожным условиям    
Несоблюдение дистанции         
Переход пешехода вне пешеходного перехода </t>
  </si>
  <si>
    <t>05,08, 15,10</t>
  </si>
  <si>
    <t>08, 15, 08, 05</t>
  </si>
  <si>
    <t>1, 1, 1, 1</t>
  </si>
  <si>
    <t xml:space="preserve">Несоответствие скорости дорожным условиям 
Несоблюдение очередности проезда 
Несоблюдение дистанции     </t>
  </si>
  <si>
    <t>15,08,15</t>
  </si>
  <si>
    <t>Несоблюдение очередности проезда
Другие нарушения ПДД водителем 
Нарушение правил проезда пешеходного перехода</t>
  </si>
  <si>
    <t>08, 10, 16</t>
  </si>
  <si>
    <t xml:space="preserve">14,14,08,15,16 </t>
  </si>
  <si>
    <t>Нарушение правил перестроения
Несоблюдение дистанции 
Несоответствие скорости условиям
Несоблюдение очередности проезда</t>
  </si>
  <si>
    <t>14,13,08</t>
  </si>
  <si>
    <t>Несоответствие скорости условиям 
Нарушение правил проезда пешеходного перехода</t>
  </si>
  <si>
    <t>08, 05, 10,08,16,</t>
  </si>
  <si>
    <t xml:space="preserve">5 - Установка дорожных знаков 5.19.1 повышенной информативности </t>
  </si>
  <si>
    <t xml:space="preserve">Несоответствие скорости условиям
Нарушение правил проезда пешеходного перехода 
Несоблюдение дистанции </t>
  </si>
  <si>
    <t>16, 05, 14, 08,08,08,15,10</t>
  </si>
  <si>
    <t>Несоответствие скорости условиям
Нарушение правил проезда пешеходного перехода 
Несоблюдение дистанции     
Нарушение правил перестроения очередности проезда</t>
  </si>
  <si>
    <t xml:space="preserve">14, 05, 08, 15,16, 08 </t>
  </si>
  <si>
    <t>1, 1, 1, 8,8</t>
  </si>
  <si>
    <t>Несоответствие скорости условиям  
Несоблюдение дистанции     
Нарушение правил перестроения очередности проезда</t>
  </si>
  <si>
    <t>08, 14</t>
  </si>
  <si>
    <t>Несоответствие скорости условиям 
Нарушение правил проезда пешеходного перехода       
Нарушение правил перестроения очередности проезда</t>
  </si>
  <si>
    <t>10,10, 16, 08,10</t>
  </si>
  <si>
    <t xml:space="preserve">1, 1, 5, 5, 5, 8 </t>
  </si>
  <si>
    <t xml:space="preserve">Несоответствие скорости условиям 
Нарушение правил проезда пешеходного перехода     
Нарушение правил перестроения очередности проезда Несоблюдение дистанции    </t>
  </si>
  <si>
    <t>Нарушение правил проезда пешеходного перехода;
Переход в неустановленном месте</t>
  </si>
  <si>
    <t>16,08, 08,15</t>
  </si>
  <si>
    <t>14, 16, 08, 16</t>
  </si>
  <si>
    <t>1, 5, 5, 5</t>
  </si>
  <si>
    <t>Несоответствие скорости дорожным условиям; 
Несоблюдение очередности проезда;
Нарушение правил проезда пешеходного перехода.</t>
  </si>
  <si>
    <t>15, 08,15</t>
  </si>
  <si>
    <t>8,1,6,5,5</t>
  </si>
  <si>
    <t>Несоответствие скорости дорожным условиям; 
Несоблюдение очередности проезда;
Нарушение правил проезда пешеходного перехода 
Несоблюдение дистанции</t>
  </si>
  <si>
    <t>15,15,08,08</t>
  </si>
  <si>
    <t>1- Введение ограничений скоростного режима до 40 км/ч на участке от Черниговской ул. до Песочной ул. (увеличение существующего участка)</t>
  </si>
  <si>
    <t>2 - Установка комплексов фотовидеофиксации нарушений установленного скоростного режима на существующем и предлагаемом участках 1-го пр-да Танкистов (40 км/ч) в обоих направлениях</t>
  </si>
  <si>
    <t>5 - Нанесение дорожной разметки 1.24.2 , дублирующей запрещающие дорожные знаки 3.24 (40), а также 1.24.4</t>
  </si>
  <si>
    <t>15,16,08,23</t>
  </si>
  <si>
    <t xml:space="preserve">Нарушение правил проезда пешеходного перехода
Несоблюдение дистанции   
Несоблюдение очередности проезда  
Переход в неустановленном месте  </t>
  </si>
  <si>
    <t>14,15,08,16</t>
  </si>
  <si>
    <t>15,08,08,16,15</t>
  </si>
  <si>
    <t xml:space="preserve">Нарушение правил проезда пешеходного перехода
Несоблюдение дистанции    </t>
  </si>
  <si>
    <t>05,05,15,16,08</t>
  </si>
  <si>
    <t>3 - Доустановка (восстановление) дорожных знаков 5.5, 3.1, 5.7.2 в зоне перекрестка</t>
  </si>
  <si>
    <t>5,5,1,1,1,1</t>
  </si>
  <si>
    <t xml:space="preserve">Несоблюдение требований сигналов светофора
Несоблюдение дистанции    
Несоответствие скорости дорожным условиям          
Переход в неустановленном месте      </t>
  </si>
  <si>
    <t>10,08,15,16,08</t>
  </si>
  <si>
    <t>14,05,15,08,16</t>
  </si>
  <si>
    <t xml:space="preserve">Несоответствие скорости дорожным условиям          
Несоблюдение дистанции     
Нарушение правил проезда пешеходного перехода </t>
  </si>
  <si>
    <t>1, 1, 1, 1, 1, 5, 5, 5, 5, 5</t>
  </si>
  <si>
    <t>Несоблюдение очередности проезда 
Переход в неустановленном месте;
Нарушение требований сигналов светофора;
Нарушение правил проезда пешеходного перехода</t>
  </si>
  <si>
    <t>14,00,15,08,16</t>
  </si>
  <si>
    <t>1,5,5,5,8</t>
  </si>
  <si>
    <t>Нарушение правил проезда пешеходного перехода;     
Нарушение требований сигналов светофора;  
Несоблюдение дистанции</t>
  </si>
  <si>
    <t>08, 00, 16, 08, 15</t>
  </si>
  <si>
    <t>Нарушение требований сигналов светофора;  
Несоблюдение дистанции</t>
  </si>
  <si>
    <t>Нарушение требований сигналов светофора; 
Несоблюдение дистанции</t>
  </si>
  <si>
    <t>05, 14, 15</t>
  </si>
  <si>
    <t>8, 8,  5, 5, 5, 5, 5, 5</t>
  </si>
  <si>
    <t>Несоблюдение очередности проезда 
Несоблюдение дистанции     
Нарушение правил проезда пешеходного перехода;         
Переход в неустановленном месте</t>
  </si>
  <si>
    <t>05, 08, 18, 15</t>
  </si>
  <si>
    <t>5,5,5,1</t>
  </si>
  <si>
    <t>14, 08, 00, 15, 16</t>
  </si>
  <si>
    <t>15, 08, 16, 16, 23</t>
  </si>
  <si>
    <t>1,1,1,4,</t>
  </si>
  <si>
    <t>14, 10, 23, 08</t>
  </si>
  <si>
    <t>15, 08, 08</t>
  </si>
  <si>
    <t>14, 08, 15</t>
  </si>
  <si>
    <t>1. Нанесение (восстановление) горизонтальной дорожной разметки 
2. Капремонт участка а/д с укркеплением обочин по типу дорожной одежды проезжей части.</t>
  </si>
  <si>
    <t>1. Установка осевого барьерного дорожного ограждения.
2. Строительство надземного пешеходного перехода</t>
  </si>
  <si>
    <t>установка тросового/барьерного ограждения</t>
  </si>
</sst>
</file>

<file path=xl/styles.xml><?xml version="1.0" encoding="utf-8"?>
<styleSheet xmlns="http://schemas.openxmlformats.org/spreadsheetml/2006/main">
  <numFmts count="14">
    <numFmt numFmtId="43" formatCode="_-* #,##0.00\ _₽_-;\-* #,##0.00\ _₽_-;_-* &quot;-&quot;??\ _₽_-;_-@_-"/>
    <numFmt numFmtId="164" formatCode="0.0"/>
    <numFmt numFmtId="165" formatCode="_-* #,##0.00_р_._-;\-* #,##0.00_р_._-;_-* &quot;-&quot;??_р_._-;_-@_-"/>
    <numFmt numFmtId="166" formatCode="_-* #,##0.0_р_._-;\-* #,##0.0_р_._-;_-* &quot;-&quot;??_р_._-;_-@_-"/>
    <numFmt numFmtId="167" formatCode="0.000"/>
    <numFmt numFmtId="168" formatCode="_-* #,##0_р_._-;\-* #,##0_р_._-;_-* &quot;-&quot;??_р_._-;_-@_-"/>
    <numFmt numFmtId="169" formatCode="_-* #,##0.00000_р_._-;\-* #,##0.00000_р_._-;_-* &quot;-&quot;??_р_._-;_-@_-"/>
    <numFmt numFmtId="170" formatCode="_-* #,##0.0_р_._-;\-* #,##0.0_р_._-;_-* &quot;-&quot;?_р_._-;_-@_-"/>
    <numFmt numFmtId="171" formatCode="_-* #,##0.000000_р_._-;\-* #,##0.000000_р_._-;_-* &quot;-&quot;??_р_._-;_-@_-"/>
    <numFmt numFmtId="172" formatCode="0.000000"/>
    <numFmt numFmtId="173" formatCode="_-* #,##0.000_р_._-;\-* #,##0.000_р_._-;_-* &quot;-&quot;??_р_._-;_-@_-"/>
    <numFmt numFmtId="174" formatCode="0.0%"/>
    <numFmt numFmtId="175" formatCode="_-* #,##0.0000_р_._-;\-* #,##0.0000_р_._-;_-* &quot;-&quot;??_р_._-;_-@_-"/>
    <numFmt numFmtId="176" formatCode="_-* #,##0.0\ _₽_-;\-* #,##0.0\ _₽_-;_-* &quot;-&quot;?\ _₽_-;_-@_-"/>
  </numFmts>
  <fonts count="81">
    <font>
      <sz val="11"/>
      <color theme="1"/>
      <name val="Times New Roman"/>
      <family val="2"/>
      <charset val="204"/>
    </font>
    <font>
      <sz val="11"/>
      <color theme="1"/>
      <name val="Times New Roman"/>
      <family val="2"/>
      <charset val="204"/>
    </font>
    <font>
      <sz val="11"/>
      <color indexed="8"/>
      <name val="Times New Roman"/>
      <family val="1"/>
    </font>
    <font>
      <sz val="11"/>
      <color theme="1"/>
      <name val="Calibri"/>
      <family val="2"/>
      <charset val="204"/>
      <scheme val="minor"/>
    </font>
    <font>
      <sz val="11"/>
      <color indexed="8"/>
      <name val="Times New Roman"/>
      <family val="1"/>
      <charset val="204"/>
    </font>
    <font>
      <b/>
      <sz val="12"/>
      <color indexed="8"/>
      <name val="Times New Roman"/>
      <family val="1"/>
      <charset val="204"/>
    </font>
    <font>
      <sz val="10"/>
      <name val="Arial"/>
      <family val="2"/>
    </font>
    <font>
      <sz val="11"/>
      <color theme="1"/>
      <name val="Times New Roman"/>
      <family val="1"/>
      <charset val="204"/>
    </font>
    <font>
      <b/>
      <sz val="18"/>
      <color indexed="8"/>
      <name val="Arial Black"/>
      <family val="2"/>
      <charset val="204"/>
    </font>
    <font>
      <b/>
      <sz val="11"/>
      <color indexed="8"/>
      <name val="Arial Black"/>
      <family val="2"/>
      <charset val="204"/>
    </font>
    <font>
      <b/>
      <sz val="11"/>
      <color theme="1"/>
      <name val="Arial Black"/>
      <family val="2"/>
      <charset val="204"/>
    </font>
    <font>
      <b/>
      <sz val="12"/>
      <color indexed="8"/>
      <name val="Arial Black"/>
      <family val="2"/>
      <charset val="204"/>
    </font>
    <font>
      <sz val="11"/>
      <name val="Arial Black"/>
      <family val="2"/>
      <charset val="204"/>
    </font>
    <font>
      <sz val="11"/>
      <color theme="1"/>
      <name val="Calibri"/>
      <family val="2"/>
      <scheme val="minor"/>
    </font>
    <font>
      <sz val="11"/>
      <color theme="1"/>
      <name val="Arial Black"/>
      <family val="2"/>
      <charset val="204"/>
    </font>
    <font>
      <sz val="12"/>
      <name val="Arial Black"/>
      <family val="2"/>
      <charset val="204"/>
    </font>
    <font>
      <b/>
      <sz val="11"/>
      <name val="Arial Black"/>
      <family val="2"/>
      <charset val="204"/>
    </font>
    <font>
      <sz val="12"/>
      <color indexed="8"/>
      <name val="Arial Black"/>
      <family val="2"/>
      <charset val="204"/>
    </font>
    <font>
      <sz val="11"/>
      <color indexed="8"/>
      <name val="Arial Black"/>
      <family val="2"/>
      <charset val="204"/>
    </font>
    <font>
      <sz val="12"/>
      <color theme="1"/>
      <name val="Arial Black"/>
      <family val="2"/>
      <charset val="204"/>
    </font>
    <font>
      <sz val="11"/>
      <name val="Times New Roman"/>
      <family val="1"/>
    </font>
    <font>
      <b/>
      <sz val="12"/>
      <name val="Arial Black"/>
      <family val="2"/>
      <charset val="204"/>
    </font>
    <font>
      <b/>
      <sz val="12"/>
      <color theme="1"/>
      <name val="Arial Black"/>
      <family val="2"/>
      <charset val="204"/>
    </font>
    <font>
      <sz val="10"/>
      <name val="Arial Cyr"/>
      <family val="2"/>
    </font>
    <font>
      <sz val="10"/>
      <name val="Arial Black"/>
      <family val="2"/>
      <charset val="204"/>
    </font>
    <font>
      <sz val="10"/>
      <color theme="1"/>
      <name val="Arial Black"/>
      <family val="2"/>
      <charset val="204"/>
    </font>
    <font>
      <b/>
      <sz val="20"/>
      <color indexed="8"/>
      <name val="Arial Black"/>
      <family val="2"/>
      <charset val="204"/>
    </font>
    <font>
      <b/>
      <sz val="11"/>
      <color theme="1"/>
      <name val="Times New Roman"/>
      <family val="1"/>
    </font>
    <font>
      <b/>
      <sz val="14"/>
      <color indexed="8"/>
      <name val="Arial Black"/>
      <family val="2"/>
      <charset val="204"/>
    </font>
    <font>
      <b/>
      <sz val="16"/>
      <color theme="1"/>
      <name val="Arial Black"/>
      <family val="2"/>
      <charset val="204"/>
    </font>
    <font>
      <b/>
      <sz val="22"/>
      <color indexed="8"/>
      <name val="Times New Roman"/>
      <family val="1"/>
      <charset val="204"/>
    </font>
    <font>
      <b/>
      <sz val="15"/>
      <color indexed="8"/>
      <name val="Times New Roman"/>
      <family val="1"/>
      <charset val="204"/>
    </font>
    <font>
      <b/>
      <sz val="16"/>
      <name val="Arial Black"/>
      <family val="2"/>
      <charset val="204"/>
    </font>
    <font>
      <b/>
      <sz val="11"/>
      <color indexed="8"/>
      <name val="Times New Roman"/>
      <family val="1"/>
    </font>
    <font>
      <b/>
      <sz val="11"/>
      <name val="Times New Roman"/>
      <family val="1"/>
    </font>
    <font>
      <b/>
      <sz val="16"/>
      <color indexed="8"/>
      <name val="Arial Black"/>
      <family val="2"/>
      <charset val="204"/>
    </font>
    <font>
      <sz val="10"/>
      <color indexed="8"/>
      <name val="Arial Black"/>
      <family val="2"/>
      <charset val="204"/>
    </font>
    <font>
      <b/>
      <sz val="11"/>
      <color rgb="FFFF0000"/>
      <name val="Arial Black"/>
      <family val="2"/>
      <charset val="204"/>
    </font>
    <font>
      <sz val="11"/>
      <color rgb="FFFF0000"/>
      <name val="Arial Black"/>
      <family val="2"/>
      <charset val="204"/>
    </font>
    <font>
      <b/>
      <sz val="22"/>
      <color indexed="8"/>
      <name val="Arial Black"/>
      <family val="2"/>
      <charset val="204"/>
    </font>
    <font>
      <sz val="10"/>
      <name val="Times New Roman"/>
      <family val="1"/>
      <charset val="204"/>
    </font>
    <font>
      <b/>
      <sz val="11"/>
      <color theme="1"/>
      <name val="Times New Roman"/>
      <family val="1"/>
      <charset val="204"/>
    </font>
    <font>
      <b/>
      <sz val="12"/>
      <color theme="1"/>
      <name val="Times New Roman"/>
      <family val="1"/>
    </font>
    <font>
      <b/>
      <sz val="12"/>
      <color theme="1"/>
      <name val="Times New Roman"/>
      <family val="1"/>
      <charset val="204"/>
    </font>
    <font>
      <b/>
      <sz val="12"/>
      <name val="Times New Roman"/>
      <family val="1"/>
      <charset val="204"/>
    </font>
    <font>
      <sz val="11"/>
      <name val="Times New Roman"/>
      <family val="1"/>
      <charset val="204"/>
    </font>
    <font>
      <b/>
      <sz val="10"/>
      <name val="Times New Roman"/>
      <family val="1"/>
      <charset val="204"/>
    </font>
    <font>
      <b/>
      <sz val="11"/>
      <name val="Times New Roman"/>
      <family val="1"/>
      <charset val="204"/>
    </font>
    <font>
      <b/>
      <sz val="28"/>
      <color theme="1"/>
      <name val="Arial Black"/>
      <family val="2"/>
      <charset val="204"/>
    </font>
    <font>
      <sz val="16"/>
      <color indexed="8"/>
      <name val="Arial Black"/>
      <family val="2"/>
      <charset val="204"/>
    </font>
    <font>
      <sz val="16"/>
      <color rgb="FF000000"/>
      <name val="Arial Black"/>
      <family val="2"/>
      <charset val="204"/>
    </font>
    <font>
      <sz val="16"/>
      <color theme="1"/>
      <name val="Arial Black"/>
      <family val="2"/>
      <charset val="204"/>
    </font>
    <font>
      <sz val="16"/>
      <name val="Arial Black"/>
      <family val="2"/>
      <charset val="204"/>
    </font>
    <font>
      <b/>
      <sz val="16"/>
      <color rgb="FF000000"/>
      <name val="Arial Black"/>
      <family val="2"/>
      <charset val="204"/>
    </font>
    <font>
      <b/>
      <sz val="18"/>
      <color theme="1"/>
      <name val="Arial Black"/>
      <family val="2"/>
      <charset val="204"/>
    </font>
    <font>
      <b/>
      <sz val="18"/>
      <color rgb="FF000000"/>
      <name val="Arial Black"/>
      <family val="2"/>
      <charset val="204"/>
    </font>
    <font>
      <b/>
      <sz val="28"/>
      <color rgb="FF000000"/>
      <name val="Arial Black"/>
      <family val="2"/>
      <charset val="204"/>
    </font>
    <font>
      <b/>
      <sz val="20"/>
      <color theme="1"/>
      <name val="Arial Black"/>
      <family val="2"/>
      <charset val="204"/>
    </font>
    <font>
      <b/>
      <sz val="20"/>
      <color rgb="FF000000"/>
      <name val="Arial Black"/>
      <family val="2"/>
      <charset val="204"/>
    </font>
    <font>
      <sz val="10"/>
      <name val="Arial Cyr"/>
      <family val="2"/>
      <charset val="204"/>
    </font>
    <font>
      <sz val="11"/>
      <name val="Calibri"/>
      <family val="2"/>
      <charset val="204"/>
      <scheme val="minor"/>
    </font>
    <font>
      <b/>
      <sz val="14"/>
      <color theme="1"/>
      <name val="Times New Roman"/>
      <family val="1"/>
      <charset val="204"/>
    </font>
    <font>
      <sz val="14"/>
      <name val="Arial Black"/>
      <family val="2"/>
      <charset val="204"/>
    </font>
    <font>
      <sz val="16"/>
      <color theme="1"/>
      <name val="Times New Roman"/>
      <family val="2"/>
      <charset val="204"/>
    </font>
    <font>
      <b/>
      <sz val="11"/>
      <color indexed="8"/>
      <name val="Times New Roman"/>
      <family val="1"/>
      <charset val="204"/>
    </font>
    <font>
      <b/>
      <sz val="16"/>
      <name val="Times New Roman"/>
      <family val="1"/>
      <charset val="204"/>
    </font>
    <font>
      <sz val="10.5"/>
      <color indexed="8"/>
      <name val="Arial Black"/>
      <family val="2"/>
      <charset val="204"/>
    </font>
    <font>
      <sz val="26"/>
      <color indexed="8"/>
      <name val="Arial Black"/>
      <family val="2"/>
      <charset val="204"/>
    </font>
    <font>
      <b/>
      <sz val="14"/>
      <color rgb="FF000000"/>
      <name val="Arial Black"/>
      <family val="2"/>
      <charset val="204"/>
    </font>
    <font>
      <sz val="14"/>
      <color rgb="FF000000"/>
      <name val="Arial Black"/>
      <family val="2"/>
      <charset val="204"/>
    </font>
    <font>
      <b/>
      <sz val="14"/>
      <name val="Arial Black"/>
      <family val="2"/>
      <charset val="204"/>
    </font>
    <font>
      <sz val="14"/>
      <color indexed="8"/>
      <name val="Arial Black"/>
      <family val="2"/>
      <charset val="204"/>
    </font>
    <font>
      <b/>
      <sz val="14"/>
      <color theme="1"/>
      <name val="Arial Black"/>
      <family val="2"/>
      <charset val="204"/>
    </font>
    <font>
      <b/>
      <sz val="36"/>
      <color rgb="FF000000"/>
      <name val="Arial Black"/>
      <family val="2"/>
      <charset val="204"/>
    </font>
    <font>
      <b/>
      <sz val="26"/>
      <color rgb="FF000000"/>
      <name val="Arial Black"/>
      <family val="2"/>
      <charset val="204"/>
    </font>
    <font>
      <sz val="18"/>
      <name val="Arial Black"/>
      <family val="2"/>
      <charset val="204"/>
    </font>
    <font>
      <b/>
      <sz val="14"/>
      <name val="Times New Roman"/>
      <family val="1"/>
      <charset val="204"/>
    </font>
    <font>
      <sz val="14"/>
      <name val="Times New Roman"/>
      <family val="1"/>
      <charset val="204"/>
    </font>
    <font>
      <b/>
      <sz val="16"/>
      <color indexed="8"/>
      <name val="Times New Roman"/>
      <family val="1"/>
      <charset val="204"/>
    </font>
    <font>
      <sz val="15"/>
      <color theme="1"/>
      <name val="Arial Black"/>
      <family val="2"/>
      <charset val="204"/>
    </font>
    <font>
      <sz val="14"/>
      <color theme="1"/>
      <name val="Arial Black"/>
      <family val="2"/>
      <charset val="204"/>
    </font>
  </fonts>
  <fills count="18">
    <fill>
      <patternFill patternType="none"/>
    </fill>
    <fill>
      <patternFill patternType="gray125"/>
    </fill>
    <fill>
      <patternFill patternType="solid">
        <fgColor indexed="9"/>
        <bgColor indexed="26"/>
      </patternFill>
    </fill>
    <fill>
      <patternFill patternType="solid">
        <fgColor theme="0" tint="-4.9989318521683403E-2"/>
        <bgColor indexed="26"/>
      </patternFill>
    </fill>
    <fill>
      <patternFill patternType="solid">
        <fgColor theme="0" tint="-4.9989318521683403E-2"/>
        <bgColor indexed="64"/>
      </patternFill>
    </fill>
    <fill>
      <patternFill patternType="solid">
        <fgColor rgb="FFFFFF00"/>
        <bgColor indexed="26"/>
      </patternFill>
    </fill>
    <fill>
      <patternFill patternType="solid">
        <fgColor rgb="FFFFFF00"/>
        <bgColor indexed="64"/>
      </patternFill>
    </fill>
    <fill>
      <patternFill patternType="solid">
        <fgColor rgb="FFFFC000"/>
        <bgColor indexed="26"/>
      </patternFill>
    </fill>
    <fill>
      <patternFill patternType="solid">
        <fgColor rgb="FFFFC000"/>
        <bgColor indexed="64"/>
      </patternFill>
    </fill>
    <fill>
      <patternFill patternType="solid">
        <fgColor rgb="FF92D050"/>
        <bgColor indexed="64"/>
      </patternFill>
    </fill>
    <fill>
      <patternFill patternType="solid">
        <fgColor rgb="FF92D050"/>
        <bgColor indexed="26"/>
      </patternFill>
    </fill>
    <fill>
      <patternFill patternType="solid">
        <fgColor theme="0" tint="-0.14999847407452621"/>
        <bgColor indexed="64"/>
      </patternFill>
    </fill>
    <fill>
      <patternFill patternType="solid">
        <fgColor theme="4" tint="0.79998168889431442"/>
        <bgColor indexed="64"/>
      </patternFill>
    </fill>
    <fill>
      <patternFill patternType="solid">
        <fgColor theme="0"/>
        <bgColor indexed="64"/>
      </patternFill>
    </fill>
    <fill>
      <patternFill patternType="solid">
        <fgColor theme="4" tint="0.39997558519241921"/>
        <bgColor indexed="64"/>
      </patternFill>
    </fill>
    <fill>
      <patternFill patternType="solid">
        <fgColor rgb="FFFF00FF"/>
        <bgColor indexed="64"/>
      </patternFill>
    </fill>
    <fill>
      <patternFill patternType="solid">
        <fgColor rgb="FFCCECFF"/>
        <bgColor indexed="64"/>
      </patternFill>
    </fill>
    <fill>
      <patternFill patternType="solid">
        <fgColor rgb="FFCCECFF"/>
        <bgColor indexed="26"/>
      </patternFill>
    </fill>
  </fills>
  <borders count="62">
    <border>
      <left/>
      <right/>
      <top/>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thick">
        <color indexed="64"/>
      </right>
      <top/>
      <bottom/>
      <diagonal/>
    </border>
    <border>
      <left style="thick">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ck">
        <color indexed="64"/>
      </right>
      <top style="medium">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ck">
        <color indexed="64"/>
      </right>
      <top style="thin">
        <color indexed="64"/>
      </top>
      <bottom/>
      <diagonal/>
    </border>
    <border>
      <left style="thin">
        <color indexed="64"/>
      </left>
      <right style="thin">
        <color indexed="64"/>
      </right>
      <top/>
      <bottom style="thin">
        <color indexed="64"/>
      </bottom>
      <diagonal/>
    </border>
    <border>
      <left style="thin">
        <color indexed="64"/>
      </left>
      <right style="thick">
        <color indexed="64"/>
      </right>
      <top/>
      <bottom style="thin">
        <color indexed="64"/>
      </bottom>
      <diagonal/>
    </border>
    <border>
      <left/>
      <right style="thin">
        <color indexed="64"/>
      </right>
      <top/>
      <bottom style="thin">
        <color indexed="64"/>
      </bottom>
      <diagonal/>
    </border>
    <border>
      <left style="thick">
        <color indexed="64"/>
      </left>
      <right style="thin">
        <color indexed="64"/>
      </right>
      <top style="thin">
        <color indexed="64"/>
      </top>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bottom style="thick">
        <color indexed="64"/>
      </bottom>
      <diagonal/>
    </border>
    <border>
      <left style="thick">
        <color indexed="64"/>
      </left>
      <right/>
      <top/>
      <bottom/>
      <diagonal/>
    </border>
    <border>
      <left style="medium">
        <color indexed="64"/>
      </left>
      <right style="thin">
        <color indexed="64"/>
      </right>
      <top/>
      <bottom style="thin">
        <color indexed="64"/>
      </bottom>
      <diagonal/>
    </border>
    <border>
      <left style="thick">
        <color indexed="64"/>
      </left>
      <right/>
      <top style="thin">
        <color indexed="64"/>
      </top>
      <bottom/>
      <diagonal/>
    </border>
    <border>
      <left style="thick">
        <color indexed="64"/>
      </left>
      <right/>
      <top/>
      <bottom style="thin">
        <color indexed="64"/>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ck">
        <color indexed="64"/>
      </top>
      <bottom/>
      <diagonal/>
    </border>
    <border>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ck">
        <color rgb="FFFF0000"/>
      </bottom>
      <diagonal/>
    </border>
    <border>
      <left/>
      <right style="medium">
        <color indexed="64"/>
      </right>
      <top style="thin">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medium">
        <color indexed="64"/>
      </top>
      <bottom/>
      <diagonal/>
    </border>
    <border>
      <left style="thin">
        <color indexed="64"/>
      </left>
      <right style="medium">
        <color indexed="64"/>
      </right>
      <top/>
      <bottom style="thick">
        <color indexed="64"/>
      </bottom>
      <diagonal/>
    </border>
  </borders>
  <cellStyleXfs count="11">
    <xf numFmtId="0" fontId="0" fillId="0" borderId="0"/>
    <xf numFmtId="43" fontId="1" fillId="0" borderId="0" applyFont="0" applyFill="0" applyBorder="0" applyAlignment="0" applyProtection="0"/>
    <xf numFmtId="0" fontId="3" fillId="0" borderId="0"/>
    <xf numFmtId="0" fontId="13" fillId="0" borderId="0"/>
    <xf numFmtId="0" fontId="3" fillId="0" borderId="0"/>
    <xf numFmtId="0" fontId="23" fillId="0" borderId="0"/>
    <xf numFmtId="0" fontId="6" fillId="0" borderId="0"/>
    <xf numFmtId="0" fontId="59" fillId="0" borderId="0"/>
    <xf numFmtId="0" fontId="3" fillId="0" borderId="0"/>
    <xf numFmtId="0" fontId="3" fillId="0" borderId="0"/>
    <xf numFmtId="0" fontId="3" fillId="0" borderId="0"/>
  </cellStyleXfs>
  <cellXfs count="1608">
    <xf numFmtId="0" fontId="0" fillId="0" borderId="0" xfId="0"/>
    <xf numFmtId="164" fontId="7" fillId="0" borderId="11" xfId="2" applyNumberFormat="1" applyFont="1" applyFill="1" applyBorder="1" applyAlignment="1">
      <alignment horizontal="center" vertical="center" wrapText="1"/>
    </xf>
    <xf numFmtId="166" fontId="7" fillId="0" borderId="11" xfId="1" applyNumberFormat="1" applyFont="1" applyFill="1" applyBorder="1" applyAlignment="1">
      <alignment horizontal="center" vertical="center" wrapText="1"/>
    </xf>
    <xf numFmtId="167" fontId="7" fillId="0" borderId="11" xfId="2" applyNumberFormat="1" applyFont="1" applyFill="1" applyBorder="1" applyAlignment="1">
      <alignment horizontal="center" vertical="center" wrapText="1"/>
    </xf>
    <xf numFmtId="0" fontId="4" fillId="0" borderId="11" xfId="2" applyFont="1" applyFill="1" applyBorder="1" applyAlignment="1">
      <alignment horizontal="center" vertical="center" wrapText="1"/>
    </xf>
    <xf numFmtId="1" fontId="4" fillId="0" borderId="11" xfId="2" applyNumberFormat="1" applyFont="1" applyFill="1" applyBorder="1" applyAlignment="1">
      <alignment horizontal="center" vertical="center" wrapText="1"/>
    </xf>
    <xf numFmtId="166" fontId="4" fillId="0" borderId="11" xfId="1" applyNumberFormat="1" applyFont="1" applyFill="1" applyBorder="1" applyAlignment="1">
      <alignment horizontal="center" vertical="center" wrapText="1"/>
    </xf>
    <xf numFmtId="166" fontId="4" fillId="0" borderId="19" xfId="1" applyNumberFormat="1" applyFont="1" applyFill="1" applyBorder="1" applyAlignment="1">
      <alignment horizontal="center" vertical="center" wrapText="1"/>
    </xf>
    <xf numFmtId="164" fontId="4" fillId="0" borderId="11" xfId="2" applyNumberFormat="1" applyFont="1" applyFill="1" applyBorder="1" applyAlignment="1">
      <alignment horizontal="center" vertical="center" wrapText="1"/>
    </xf>
    <xf numFmtId="164" fontId="11" fillId="0" borderId="11" xfId="1" applyNumberFormat="1" applyFont="1" applyFill="1" applyBorder="1" applyAlignment="1">
      <alignment horizontal="center" vertical="center"/>
    </xf>
    <xf numFmtId="0" fontId="12" fillId="0" borderId="13" xfId="0" applyFont="1" applyFill="1" applyBorder="1"/>
    <xf numFmtId="166" fontId="15" fillId="0" borderId="11" xfId="0" applyNumberFormat="1" applyFont="1" applyFill="1" applyBorder="1" applyAlignment="1">
      <alignment horizontal="center" vertical="center"/>
    </xf>
    <xf numFmtId="0" fontId="12" fillId="0" borderId="11" xfId="0" applyFont="1" applyFill="1" applyBorder="1"/>
    <xf numFmtId="166" fontId="17" fillId="0" borderId="11" xfId="0" applyNumberFormat="1" applyFont="1" applyFill="1" applyBorder="1" applyAlignment="1">
      <alignment horizontal="center" vertical="center"/>
    </xf>
    <xf numFmtId="0" fontId="15" fillId="0" borderId="11" xfId="0" applyFont="1" applyFill="1" applyBorder="1" applyAlignment="1">
      <alignment vertical="center"/>
    </xf>
    <xf numFmtId="0" fontId="9" fillId="0" borderId="11" xfId="0" applyFont="1" applyFill="1" applyBorder="1" applyAlignment="1">
      <alignment horizontal="center" vertical="center"/>
    </xf>
    <xf numFmtId="0" fontId="9" fillId="0" borderId="11" xfId="0" applyFont="1" applyFill="1" applyBorder="1" applyAlignment="1">
      <alignment horizontal="left" vertical="center" wrapText="1"/>
    </xf>
    <xf numFmtId="164" fontId="10" fillId="0" borderId="11" xfId="1" applyNumberFormat="1" applyFont="1" applyFill="1" applyBorder="1" applyAlignment="1">
      <alignment horizontal="center" vertical="center"/>
    </xf>
    <xf numFmtId="43" fontId="11" fillId="0" borderId="11" xfId="1" applyFont="1" applyFill="1" applyBorder="1" applyAlignment="1">
      <alignment horizontal="center" vertical="center" wrapText="1"/>
    </xf>
    <xf numFmtId="0" fontId="20" fillId="0" borderId="0" xfId="0" applyFont="1" applyFill="1"/>
    <xf numFmtId="43" fontId="19" fillId="0" borderId="11" xfId="1" applyFont="1" applyFill="1" applyBorder="1" applyAlignment="1">
      <alignment horizontal="center" vertical="center" wrapText="1"/>
    </xf>
    <xf numFmtId="2" fontId="11" fillId="0" borderId="11" xfId="1" applyNumberFormat="1" applyFont="1" applyFill="1" applyBorder="1" applyAlignment="1">
      <alignment horizontal="center" vertical="center" wrapText="1"/>
    </xf>
    <xf numFmtId="0" fontId="12" fillId="0" borderId="30" xfId="0" applyFont="1" applyFill="1" applyBorder="1"/>
    <xf numFmtId="43" fontId="9" fillId="0" borderId="11" xfId="1" applyFont="1" applyFill="1" applyBorder="1" applyAlignment="1">
      <alignment vertical="center"/>
    </xf>
    <xf numFmtId="2" fontId="19" fillId="0" borderId="11" xfId="1" applyNumberFormat="1" applyFont="1" applyFill="1" applyBorder="1" applyAlignment="1">
      <alignment horizontal="center" vertical="center" wrapText="1"/>
    </xf>
    <xf numFmtId="2" fontId="10" fillId="0" borderId="11" xfId="1" applyNumberFormat="1" applyFont="1" applyFill="1" applyBorder="1" applyAlignment="1">
      <alignment horizontal="center" vertical="center" wrapText="1"/>
    </xf>
    <xf numFmtId="43" fontId="22" fillId="0" borderId="11" xfId="1" applyFont="1" applyFill="1" applyBorder="1" applyAlignment="1">
      <alignment horizontal="center" vertical="center" wrapText="1"/>
    </xf>
    <xf numFmtId="166" fontId="12" fillId="4" borderId="2" xfId="0" applyNumberFormat="1" applyFont="1" applyFill="1" applyBorder="1" applyAlignment="1">
      <alignment horizontal="center" vertical="center"/>
    </xf>
    <xf numFmtId="164" fontId="10" fillId="4" borderId="2" xfId="1" applyNumberFormat="1" applyFont="1" applyFill="1" applyBorder="1" applyAlignment="1">
      <alignment horizontal="center" vertical="center" wrapText="1"/>
    </xf>
    <xf numFmtId="164" fontId="10" fillId="6" borderId="2" xfId="0" applyNumberFormat="1" applyFont="1" applyFill="1" applyBorder="1" applyAlignment="1">
      <alignment horizontal="center" vertical="center" wrapText="1"/>
    </xf>
    <xf numFmtId="0" fontId="10" fillId="6" borderId="2" xfId="0" applyFont="1" applyFill="1" applyBorder="1" applyAlignment="1">
      <alignment horizontal="center" vertical="center" wrapText="1"/>
    </xf>
    <xf numFmtId="0" fontId="12" fillId="6" borderId="1" xfId="0" applyFont="1" applyFill="1" applyBorder="1"/>
    <xf numFmtId="1" fontId="10" fillId="6" borderId="11" xfId="1" applyNumberFormat="1" applyFont="1" applyFill="1" applyBorder="1" applyAlignment="1">
      <alignment horizontal="center" vertical="center" wrapText="1"/>
    </xf>
    <xf numFmtId="0" fontId="10" fillId="6" borderId="11" xfId="0" applyFont="1" applyFill="1" applyBorder="1" applyAlignment="1">
      <alignment horizontal="center" vertical="center" wrapText="1"/>
    </xf>
    <xf numFmtId="0" fontId="12" fillId="6" borderId="10" xfId="0" applyFont="1" applyFill="1" applyBorder="1"/>
    <xf numFmtId="164" fontId="10" fillId="6" borderId="11" xfId="0" applyNumberFormat="1" applyFont="1" applyFill="1" applyBorder="1" applyAlignment="1">
      <alignment horizontal="center" vertical="center" wrapText="1"/>
    </xf>
    <xf numFmtId="1" fontId="10" fillId="6" borderId="11" xfId="0" applyNumberFormat="1" applyFont="1" applyFill="1" applyBorder="1" applyAlignment="1">
      <alignment horizontal="center" vertical="center" wrapText="1"/>
    </xf>
    <xf numFmtId="168" fontId="22" fillId="6" borderId="11" xfId="1" applyNumberFormat="1" applyFont="1" applyFill="1" applyBorder="1" applyAlignment="1">
      <alignment horizontal="center" vertical="center" wrapText="1"/>
    </xf>
    <xf numFmtId="166" fontId="22" fillId="6" borderId="11" xfId="1" applyNumberFormat="1" applyFont="1" applyFill="1" applyBorder="1" applyAlignment="1">
      <alignment horizontal="center" vertical="center" wrapText="1"/>
    </xf>
    <xf numFmtId="166" fontId="15" fillId="6" borderId="19" xfId="1" applyNumberFormat="1" applyFont="1" applyFill="1" applyBorder="1" applyAlignment="1">
      <alignment horizontal="center" vertical="center"/>
    </xf>
    <xf numFmtId="166" fontId="22" fillId="6" borderId="23" xfId="1" applyNumberFormat="1" applyFont="1" applyFill="1" applyBorder="1" applyAlignment="1">
      <alignment horizontal="center" vertical="center" wrapText="1"/>
    </xf>
    <xf numFmtId="0" fontId="10" fillId="0" borderId="11" xfId="0" applyFont="1" applyFill="1" applyBorder="1" applyAlignment="1">
      <alignment horizontal="center" vertical="center" wrapText="1"/>
    </xf>
    <xf numFmtId="1" fontId="10" fillId="0" borderId="11" xfId="1" applyNumberFormat="1" applyFont="1" applyFill="1" applyBorder="1" applyAlignment="1">
      <alignment horizontal="center" vertical="center" wrapText="1"/>
    </xf>
    <xf numFmtId="166" fontId="18" fillId="0" borderId="11" xfId="0" applyNumberFormat="1" applyFont="1" applyFill="1" applyBorder="1" applyAlignment="1">
      <alignment horizontal="center" vertical="center"/>
    </xf>
    <xf numFmtId="0" fontId="10" fillId="0" borderId="11" xfId="0" applyFont="1" applyFill="1" applyBorder="1" applyAlignment="1">
      <alignment vertical="center" wrapText="1"/>
    </xf>
    <xf numFmtId="1" fontId="10" fillId="0" borderId="11" xfId="1" applyNumberFormat="1" applyFont="1" applyFill="1" applyBorder="1" applyAlignment="1">
      <alignment vertical="center"/>
    </xf>
    <xf numFmtId="166" fontId="10" fillId="0" borderId="11" xfId="0" applyNumberFormat="1" applyFont="1" applyFill="1" applyBorder="1" applyAlignment="1">
      <alignment vertical="center" wrapText="1"/>
    </xf>
    <xf numFmtId="1" fontId="10" fillId="0" borderId="11" xfId="1" applyNumberFormat="1" applyFont="1" applyFill="1" applyBorder="1" applyAlignment="1">
      <alignment horizontal="center" vertical="center"/>
    </xf>
    <xf numFmtId="0" fontId="10" fillId="0" borderId="11" xfId="0" applyFont="1" applyFill="1" applyBorder="1" applyAlignment="1">
      <alignment horizontal="left" vertical="center" wrapText="1"/>
    </xf>
    <xf numFmtId="3" fontId="10" fillId="0" borderId="11" xfId="0" applyNumberFormat="1" applyFont="1" applyFill="1" applyBorder="1" applyAlignment="1">
      <alignment vertical="center" wrapText="1"/>
    </xf>
    <xf numFmtId="166" fontId="10" fillId="0" borderId="11" xfId="0" applyNumberFormat="1" applyFont="1" applyFill="1" applyBorder="1" applyAlignment="1">
      <alignment horizontal="center" vertical="center" wrapText="1"/>
    </xf>
    <xf numFmtId="1" fontId="10" fillId="0" borderId="11" xfId="0" applyNumberFormat="1" applyFont="1" applyFill="1" applyBorder="1" applyAlignment="1">
      <alignment horizontal="center" vertical="center" wrapText="1"/>
    </xf>
    <xf numFmtId="166" fontId="14" fillId="0" borderId="11" xfId="0" applyNumberFormat="1" applyFont="1" applyFill="1" applyBorder="1" applyAlignment="1">
      <alignment horizontal="center" vertical="center" wrapText="1"/>
    </xf>
    <xf numFmtId="164" fontId="10" fillId="0" borderId="11" xfId="6" applyNumberFormat="1" applyFont="1" applyFill="1" applyBorder="1" applyAlignment="1">
      <alignment horizontal="center" vertical="center" wrapText="1"/>
    </xf>
    <xf numFmtId="1" fontId="10" fillId="0" borderId="11" xfId="6" applyNumberFormat="1" applyFont="1" applyFill="1" applyBorder="1" applyAlignment="1">
      <alignment horizontal="center" vertical="center" wrapText="1"/>
    </xf>
    <xf numFmtId="1" fontId="10" fillId="0" borderId="11" xfId="6" applyNumberFormat="1" applyFont="1" applyFill="1" applyBorder="1" applyAlignment="1">
      <alignment horizontal="center" vertical="center"/>
    </xf>
    <xf numFmtId="0" fontId="10" fillId="0" borderId="11" xfId="6" applyFont="1" applyFill="1" applyBorder="1" applyAlignment="1">
      <alignment vertical="center" wrapText="1"/>
    </xf>
    <xf numFmtId="1" fontId="10" fillId="0" borderId="11" xfId="0" applyNumberFormat="1" applyFont="1" applyFill="1" applyBorder="1" applyAlignment="1">
      <alignment horizontal="center" vertical="center"/>
    </xf>
    <xf numFmtId="3" fontId="10" fillId="0" borderId="11" xfId="6" applyNumberFormat="1" applyFont="1" applyFill="1" applyBorder="1" applyAlignment="1">
      <alignment horizontal="center" vertical="center" wrapText="1"/>
    </xf>
    <xf numFmtId="1" fontId="16" fillId="0" borderId="11" xfId="1" applyNumberFormat="1" applyFont="1" applyFill="1" applyBorder="1" applyAlignment="1">
      <alignment horizontal="center" vertical="center" wrapText="1"/>
    </xf>
    <xf numFmtId="164" fontId="16" fillId="0" borderId="11" xfId="1" applyNumberFormat="1" applyFont="1" applyFill="1" applyBorder="1" applyAlignment="1">
      <alignment horizontal="center" vertical="center" wrapText="1"/>
    </xf>
    <xf numFmtId="164" fontId="12" fillId="0" borderId="11" xfId="0" applyNumberFormat="1" applyFont="1" applyFill="1" applyBorder="1"/>
    <xf numFmtId="170" fontId="10" fillId="0" borderId="11" xfId="0" applyNumberFormat="1" applyFont="1" applyFill="1" applyBorder="1" applyAlignment="1">
      <alignment horizontal="center" vertical="center" wrapText="1"/>
    </xf>
    <xf numFmtId="164" fontId="27" fillId="0" borderId="11" xfId="1" applyNumberFormat="1" applyFont="1" applyFill="1" applyBorder="1" applyAlignment="1">
      <alignment horizontal="center" vertical="center" wrapText="1"/>
    </xf>
    <xf numFmtId="166" fontId="20" fillId="0" borderId="11" xfId="0" applyNumberFormat="1" applyFont="1" applyFill="1" applyBorder="1" applyAlignment="1">
      <alignment horizontal="center" vertical="center"/>
    </xf>
    <xf numFmtId="166" fontId="27" fillId="0" borderId="11" xfId="0" applyNumberFormat="1" applyFont="1" applyFill="1" applyBorder="1" applyAlignment="1">
      <alignment horizontal="center" vertical="center" wrapText="1"/>
    </xf>
    <xf numFmtId="166" fontId="4" fillId="0" borderId="11" xfId="0" applyNumberFormat="1" applyFont="1" applyFill="1" applyBorder="1" applyAlignment="1">
      <alignment horizontal="center" vertical="center"/>
    </xf>
    <xf numFmtId="164" fontId="14" fillId="0" borderId="11" xfId="1" applyNumberFormat="1" applyFont="1" applyFill="1" applyBorder="1" applyAlignment="1">
      <alignment horizontal="center" vertical="center" wrapText="1"/>
    </xf>
    <xf numFmtId="1" fontId="14" fillId="0" borderId="11" xfId="1" applyNumberFormat="1" applyFont="1" applyFill="1" applyBorder="1" applyAlignment="1">
      <alignment horizontal="center" vertical="center" wrapText="1"/>
    </xf>
    <xf numFmtId="43" fontId="14" fillId="0" borderId="12" xfId="1" applyFont="1" applyFill="1" applyBorder="1" applyAlignment="1">
      <alignment horizontal="center" vertical="center" wrapText="1"/>
    </xf>
    <xf numFmtId="166" fontId="10" fillId="4" borderId="3" xfId="1" applyNumberFormat="1" applyFont="1" applyFill="1" applyBorder="1" applyAlignment="1">
      <alignment vertical="center" wrapText="1"/>
    </xf>
    <xf numFmtId="166" fontId="12" fillId="4" borderId="11" xfId="0" applyNumberFormat="1" applyFont="1" applyFill="1" applyBorder="1" applyAlignment="1">
      <alignment horizontal="center" vertical="center"/>
    </xf>
    <xf numFmtId="166" fontId="10" fillId="4" borderId="11" xfId="1" applyNumberFormat="1" applyFont="1" applyFill="1" applyBorder="1" applyAlignment="1">
      <alignment vertical="center" wrapText="1"/>
    </xf>
    <xf numFmtId="164" fontId="10" fillId="6" borderId="11" xfId="1" applyNumberFormat="1" applyFont="1" applyFill="1" applyBorder="1" applyAlignment="1">
      <alignment horizontal="center" vertical="center" wrapText="1"/>
    </xf>
    <xf numFmtId="43" fontId="12" fillId="6" borderId="1" xfId="1" applyFont="1" applyFill="1" applyBorder="1"/>
    <xf numFmtId="43" fontId="12" fillId="6" borderId="10" xfId="1" applyFont="1" applyFill="1" applyBorder="1"/>
    <xf numFmtId="164" fontId="22" fillId="6" borderId="11" xfId="0" applyNumberFormat="1" applyFont="1" applyFill="1" applyBorder="1" applyAlignment="1">
      <alignment horizontal="left" vertical="center" wrapText="1"/>
    </xf>
    <xf numFmtId="0" fontId="10" fillId="0" borderId="11" xfId="0" applyFont="1" applyBorder="1" applyAlignment="1">
      <alignment horizontal="center" vertical="center" wrapText="1"/>
    </xf>
    <xf numFmtId="0" fontId="10" fillId="0" borderId="11" xfId="0" applyFont="1" applyBorder="1" applyAlignment="1">
      <alignment vertical="center" wrapText="1"/>
    </xf>
    <xf numFmtId="164" fontId="10" fillId="0" borderId="11" xfId="1" applyNumberFormat="1" applyFont="1" applyBorder="1" applyAlignment="1">
      <alignment horizontal="center" vertical="center" wrapText="1"/>
    </xf>
    <xf numFmtId="166" fontId="10" fillId="0" borderId="11" xfId="1" applyNumberFormat="1" applyFont="1" applyBorder="1" applyAlignment="1">
      <alignment horizontal="center" vertical="center" wrapText="1"/>
    </xf>
    <xf numFmtId="167" fontId="10" fillId="0" borderId="11" xfId="1" applyNumberFormat="1" applyFont="1" applyBorder="1" applyAlignment="1">
      <alignment horizontal="center" vertical="center" wrapText="1"/>
    </xf>
    <xf numFmtId="1" fontId="10" fillId="0" borderId="11" xfId="0" applyNumberFormat="1" applyFont="1" applyBorder="1" applyAlignment="1">
      <alignment horizontal="center" vertical="center" wrapText="1"/>
    </xf>
    <xf numFmtId="43" fontId="10" fillId="0" borderId="11" xfId="1" applyFont="1" applyBorder="1" applyAlignment="1">
      <alignment horizontal="center" vertical="center" wrapText="1"/>
    </xf>
    <xf numFmtId="164" fontId="10" fillId="0" borderId="11" xfId="0" applyNumberFormat="1" applyFont="1" applyBorder="1" applyAlignment="1">
      <alignment horizontal="center" vertical="center" wrapText="1"/>
    </xf>
    <xf numFmtId="0" fontId="12" fillId="0" borderId="11" xfId="0" applyFont="1" applyBorder="1"/>
    <xf numFmtId="0" fontId="11" fillId="7" borderId="11" xfId="0" applyFont="1" applyFill="1" applyBorder="1" applyAlignment="1">
      <alignment vertical="center"/>
    </xf>
    <xf numFmtId="164" fontId="11" fillId="7" borderId="11" xfId="0" applyNumberFormat="1" applyFont="1" applyFill="1" applyBorder="1" applyAlignment="1">
      <alignment vertical="center"/>
    </xf>
    <xf numFmtId="167" fontId="11" fillId="7" borderId="11" xfId="0" applyNumberFormat="1" applyFont="1" applyFill="1" applyBorder="1" applyAlignment="1">
      <alignment vertical="center"/>
    </xf>
    <xf numFmtId="1" fontId="11" fillId="7" borderId="11" xfId="0" applyNumberFormat="1" applyFont="1" applyFill="1" applyBorder="1" applyAlignment="1">
      <alignment vertical="center"/>
    </xf>
    <xf numFmtId="43" fontId="11" fillId="7" borderId="11" xfId="1" applyFont="1" applyFill="1" applyBorder="1" applyAlignment="1">
      <alignment vertical="center"/>
    </xf>
    <xf numFmtId="0" fontId="14" fillId="0" borderId="11" xfId="0" applyFont="1" applyBorder="1" applyAlignment="1">
      <alignment horizontal="center" vertical="center" wrapText="1"/>
    </xf>
    <xf numFmtId="2" fontId="24" fillId="0" borderId="11" xfId="5" applyNumberFormat="1" applyFont="1" applyFill="1" applyBorder="1" applyAlignment="1">
      <alignment horizontal="center" vertical="center" wrapText="1"/>
    </xf>
    <xf numFmtId="164" fontId="24" fillId="0" borderId="11" xfId="5" applyNumberFormat="1" applyFont="1" applyFill="1" applyBorder="1" applyAlignment="1">
      <alignment horizontal="center" vertical="center" wrapText="1"/>
    </xf>
    <xf numFmtId="167" fontId="24" fillId="0" borderId="11" xfId="5" applyNumberFormat="1" applyFont="1" applyFill="1" applyBorder="1" applyAlignment="1">
      <alignment horizontal="center" vertical="center" wrapText="1"/>
    </xf>
    <xf numFmtId="2" fontId="14" fillId="0" borderId="11" xfId="0" applyNumberFormat="1" applyFont="1" applyBorder="1" applyAlignment="1">
      <alignment horizontal="center" vertical="center" wrapText="1"/>
    </xf>
    <xf numFmtId="14" fontId="14" fillId="0" borderId="11" xfId="0" applyNumberFormat="1" applyFont="1" applyBorder="1" applyAlignment="1">
      <alignment horizontal="center" vertical="center" wrapText="1"/>
    </xf>
    <xf numFmtId="1" fontId="14" fillId="0" borderId="11" xfId="0" applyNumberFormat="1" applyFont="1" applyBorder="1" applyAlignment="1">
      <alignment horizontal="center" vertical="center" wrapText="1"/>
    </xf>
    <xf numFmtId="0" fontId="24" fillId="0" borderId="11" xfId="5" applyFont="1" applyFill="1" applyBorder="1" applyAlignment="1">
      <alignment horizontal="center" vertical="center" wrapText="1"/>
    </xf>
    <xf numFmtId="0" fontId="10" fillId="4" borderId="11" xfId="0" applyFont="1" applyFill="1" applyBorder="1" applyAlignment="1">
      <alignment vertical="center" wrapText="1"/>
    </xf>
    <xf numFmtId="1" fontId="10" fillId="4" borderId="11" xfId="0" applyNumberFormat="1" applyFont="1" applyFill="1" applyBorder="1" applyAlignment="1">
      <alignment vertical="center" wrapText="1"/>
    </xf>
    <xf numFmtId="1" fontId="10" fillId="8" borderId="11" xfId="0" applyNumberFormat="1" applyFont="1" applyFill="1" applyBorder="1" applyAlignment="1">
      <alignment horizontal="center" vertical="center" wrapText="1"/>
    </xf>
    <xf numFmtId="0" fontId="10" fillId="8" borderId="11" xfId="0" applyFont="1" applyFill="1" applyBorder="1" applyAlignment="1">
      <alignment horizontal="center" vertical="center" wrapText="1"/>
    </xf>
    <xf numFmtId="0" fontId="12" fillId="8" borderId="29" xfId="0" applyFont="1" applyFill="1" applyBorder="1"/>
    <xf numFmtId="0" fontId="10" fillId="8" borderId="22" xfId="0" applyFont="1" applyFill="1" applyBorder="1" applyAlignment="1">
      <alignment horizontal="center" vertical="center" wrapText="1"/>
    </xf>
    <xf numFmtId="0" fontId="12" fillId="8" borderId="0" xfId="0" applyFont="1" applyFill="1" applyBorder="1"/>
    <xf numFmtId="0" fontId="10" fillId="8" borderId="6" xfId="0" applyFont="1" applyFill="1" applyBorder="1" applyAlignment="1">
      <alignment horizontal="center" vertical="center" wrapText="1"/>
    </xf>
    <xf numFmtId="0" fontId="10" fillId="8" borderId="25" xfId="0" applyFont="1" applyFill="1" applyBorder="1" applyAlignment="1">
      <alignment horizontal="center" vertical="center" wrapText="1"/>
    </xf>
    <xf numFmtId="0" fontId="10" fillId="8" borderId="11" xfId="0" applyFont="1" applyFill="1" applyBorder="1" applyAlignment="1">
      <alignment vertical="center" wrapText="1"/>
    </xf>
    <xf numFmtId="0" fontId="10" fillId="8" borderId="0" xfId="0" applyFont="1" applyFill="1" applyBorder="1" applyAlignment="1">
      <alignment horizontal="center" vertical="center" wrapText="1"/>
    </xf>
    <xf numFmtId="164" fontId="9" fillId="0" borderId="11" xfId="0" applyNumberFormat="1" applyFont="1" applyFill="1" applyBorder="1" applyAlignment="1">
      <alignment horizontal="center" vertical="center"/>
    </xf>
    <xf numFmtId="167" fontId="9" fillId="0" borderId="11" xfId="0" applyNumberFormat="1" applyFont="1" applyFill="1" applyBorder="1" applyAlignment="1">
      <alignment horizontal="center" vertical="center"/>
    </xf>
    <xf numFmtId="1" fontId="9" fillId="0" borderId="11" xfId="0" applyNumberFormat="1" applyFont="1" applyFill="1" applyBorder="1" applyAlignment="1">
      <alignment horizontal="center" vertical="center"/>
    </xf>
    <xf numFmtId="43" fontId="12" fillId="0" borderId="11" xfId="1" applyFont="1" applyFill="1" applyBorder="1"/>
    <xf numFmtId="0" fontId="9" fillId="4" borderId="11" xfId="0" applyFont="1" applyFill="1" applyBorder="1" applyAlignment="1">
      <alignment vertical="center" wrapText="1"/>
    </xf>
    <xf numFmtId="1" fontId="9" fillId="4" borderId="11" xfId="0" applyNumberFormat="1" applyFont="1" applyFill="1" applyBorder="1" applyAlignment="1">
      <alignment vertical="center" wrapText="1"/>
    </xf>
    <xf numFmtId="43" fontId="9" fillId="4" borderId="11" xfId="1" applyFont="1" applyFill="1" applyBorder="1" applyAlignment="1">
      <alignment vertical="center" wrapText="1"/>
    </xf>
    <xf numFmtId="1" fontId="10" fillId="9" borderId="11" xfId="0" applyNumberFormat="1" applyFont="1" applyFill="1" applyBorder="1" applyAlignment="1">
      <alignment horizontal="center" vertical="center" wrapText="1"/>
    </xf>
    <xf numFmtId="0" fontId="10" fillId="9" borderId="11" xfId="0" applyFont="1" applyFill="1" applyBorder="1" applyAlignment="1">
      <alignment horizontal="center" vertical="center" wrapText="1"/>
    </xf>
    <xf numFmtId="0" fontId="12" fillId="9" borderId="29" xfId="0" applyFont="1" applyFill="1" applyBorder="1"/>
    <xf numFmtId="0" fontId="10" fillId="9" borderId="22" xfId="0" applyFont="1" applyFill="1" applyBorder="1" applyAlignment="1">
      <alignment horizontal="center" vertical="center" wrapText="1"/>
    </xf>
    <xf numFmtId="43" fontId="10" fillId="9" borderId="11" xfId="1" applyFont="1" applyFill="1" applyBorder="1" applyAlignment="1">
      <alignment horizontal="center" vertical="center" wrapText="1"/>
    </xf>
    <xf numFmtId="0" fontId="12" fillId="9" borderId="0" xfId="0" applyFont="1" applyFill="1" applyBorder="1"/>
    <xf numFmtId="0" fontId="10" fillId="9" borderId="6" xfId="0" applyFont="1" applyFill="1" applyBorder="1" applyAlignment="1">
      <alignment horizontal="center" vertical="center" wrapText="1"/>
    </xf>
    <xf numFmtId="0" fontId="10" fillId="9" borderId="11" xfId="0" applyFont="1" applyFill="1" applyBorder="1" applyAlignment="1">
      <alignment vertical="center" wrapText="1"/>
    </xf>
    <xf numFmtId="0" fontId="10" fillId="9" borderId="0" xfId="0" applyFont="1" applyFill="1" applyBorder="1" applyAlignment="1">
      <alignment horizontal="center" vertical="center" wrapText="1"/>
    </xf>
    <xf numFmtId="168" fontId="17" fillId="0" borderId="11" xfId="1" applyNumberFormat="1" applyFont="1" applyFill="1" applyBorder="1" applyAlignment="1">
      <alignment horizontal="center" vertical="center" wrapText="1"/>
    </xf>
    <xf numFmtId="166" fontId="17" fillId="0" borderId="11" xfId="1" applyNumberFormat="1" applyFont="1" applyFill="1" applyBorder="1" applyAlignment="1">
      <alignment horizontal="center" vertical="top" wrapText="1"/>
    </xf>
    <xf numFmtId="164" fontId="17" fillId="0" borderId="11" xfId="2" applyNumberFormat="1" applyFont="1" applyFill="1" applyBorder="1" applyAlignment="1">
      <alignment horizontal="center" vertical="top" wrapText="1"/>
    </xf>
    <xf numFmtId="164" fontId="11" fillId="0" borderId="11" xfId="0" applyNumberFormat="1" applyFont="1" applyFill="1" applyBorder="1" applyAlignment="1">
      <alignment vertical="center"/>
    </xf>
    <xf numFmtId="166" fontId="11" fillId="0" borderId="11" xfId="1" applyNumberFormat="1" applyFont="1" applyFill="1" applyBorder="1" applyAlignment="1">
      <alignment vertical="center"/>
    </xf>
    <xf numFmtId="164" fontId="21" fillId="0" borderId="11" xfId="0" applyNumberFormat="1" applyFont="1" applyFill="1" applyBorder="1" applyAlignment="1">
      <alignment vertical="center"/>
    </xf>
    <xf numFmtId="164" fontId="21" fillId="0" borderId="11" xfId="0" applyNumberFormat="1" applyFont="1" applyFill="1" applyBorder="1" applyAlignment="1">
      <alignment vertical="center" wrapText="1"/>
    </xf>
    <xf numFmtId="168" fontId="11" fillId="0" borderId="11" xfId="0" applyNumberFormat="1" applyFont="1" applyFill="1" applyBorder="1" applyAlignment="1">
      <alignment horizontal="center" vertical="center"/>
    </xf>
    <xf numFmtId="164" fontId="15" fillId="0" borderId="11" xfId="0" applyNumberFormat="1" applyFont="1" applyFill="1" applyBorder="1" applyAlignment="1">
      <alignment horizontal="center" vertical="center"/>
    </xf>
    <xf numFmtId="166" fontId="15" fillId="0" borderId="11" xfId="1" applyNumberFormat="1" applyFont="1" applyFill="1" applyBorder="1" applyAlignment="1">
      <alignment horizontal="center" vertical="center"/>
    </xf>
    <xf numFmtId="168" fontId="21" fillId="0" borderId="11" xfId="1" applyNumberFormat="1" applyFont="1" applyFill="1" applyBorder="1" applyAlignment="1">
      <alignment horizontal="center" vertical="center"/>
    </xf>
    <xf numFmtId="166" fontId="11" fillId="0" borderId="11" xfId="0" applyNumberFormat="1" applyFont="1" applyFill="1" applyBorder="1" applyAlignment="1">
      <alignment horizontal="center" vertical="center"/>
    </xf>
    <xf numFmtId="168" fontId="11" fillId="0" borderId="11" xfId="1" applyNumberFormat="1" applyFont="1" applyFill="1" applyBorder="1" applyAlignment="1">
      <alignment horizontal="center" vertical="center" wrapText="1"/>
    </xf>
    <xf numFmtId="0" fontId="22" fillId="0" borderId="11" xfId="0" applyFont="1" applyFill="1" applyBorder="1" applyAlignment="1">
      <alignment horizontal="center" vertical="center"/>
    </xf>
    <xf numFmtId="168" fontId="22" fillId="0" borderId="11" xfId="1" applyNumberFormat="1" applyFont="1" applyFill="1" applyBorder="1" applyAlignment="1">
      <alignment horizontal="center" vertical="center"/>
    </xf>
    <xf numFmtId="164" fontId="11" fillId="0" borderId="11" xfId="0" applyNumberFormat="1" applyFont="1" applyFill="1" applyBorder="1" applyAlignment="1">
      <alignment vertical="center" wrapText="1"/>
    </xf>
    <xf numFmtId="166" fontId="22" fillId="6" borderId="25" xfId="1" applyNumberFormat="1" applyFont="1" applyFill="1" applyBorder="1" applyAlignment="1">
      <alignment horizontal="center" vertical="center" wrapText="1"/>
    </xf>
    <xf numFmtId="0" fontId="11" fillId="9" borderId="11" xfId="0" applyFont="1" applyFill="1" applyBorder="1" applyAlignment="1">
      <alignment vertical="center"/>
    </xf>
    <xf numFmtId="0" fontId="11" fillId="9" borderId="11" xfId="0" applyFont="1" applyFill="1" applyBorder="1" applyAlignment="1">
      <alignment vertical="distributed" wrapText="1"/>
    </xf>
    <xf numFmtId="0" fontId="11" fillId="9" borderId="11" xfId="0" applyFont="1" applyFill="1" applyBorder="1" applyAlignment="1">
      <alignment horizontal="center" vertical="center" wrapText="1"/>
    </xf>
    <xf numFmtId="164" fontId="11" fillId="9" borderId="11" xfId="0" applyNumberFormat="1" applyFont="1" applyFill="1" applyBorder="1" applyAlignment="1">
      <alignment horizontal="center" vertical="center" wrapText="1"/>
    </xf>
    <xf numFmtId="166" fontId="11" fillId="9" borderId="11" xfId="1" applyNumberFormat="1" applyFont="1" applyFill="1" applyBorder="1" applyAlignment="1">
      <alignment horizontal="center" vertical="center" wrapText="1"/>
    </xf>
    <xf numFmtId="168" fontId="11" fillId="9" borderId="11" xfId="1" applyNumberFormat="1" applyFont="1" applyFill="1" applyBorder="1" applyAlignment="1">
      <alignment horizontal="center" vertical="center" wrapText="1"/>
    </xf>
    <xf numFmtId="43" fontId="11" fillId="9" borderId="11" xfId="1" applyFont="1" applyFill="1" applyBorder="1" applyAlignment="1">
      <alignment horizontal="center" vertical="center" wrapText="1"/>
    </xf>
    <xf numFmtId="168" fontId="33" fillId="0" borderId="11" xfId="1" applyNumberFormat="1" applyFont="1" applyFill="1" applyBorder="1" applyAlignment="1">
      <alignment horizontal="center" vertical="center"/>
    </xf>
    <xf numFmtId="166" fontId="33" fillId="0" borderId="11" xfId="1" applyNumberFormat="1" applyFont="1" applyFill="1" applyBorder="1" applyAlignment="1">
      <alignment horizontal="center" vertical="center"/>
    </xf>
    <xf numFmtId="0" fontId="20" fillId="0" borderId="11" xfId="0" applyFont="1" applyFill="1" applyBorder="1" applyAlignment="1">
      <alignment vertical="center"/>
    </xf>
    <xf numFmtId="0" fontId="20" fillId="0" borderId="11" xfId="0" applyFont="1" applyFill="1" applyBorder="1" applyAlignment="1">
      <alignment horizontal="center" vertical="center"/>
    </xf>
    <xf numFmtId="164" fontId="20" fillId="0" borderId="11" xfId="0" applyNumberFormat="1" applyFont="1" applyFill="1" applyBorder="1" applyAlignment="1">
      <alignment horizontal="center" vertical="center"/>
    </xf>
    <xf numFmtId="166" fontId="20" fillId="0" borderId="11" xfId="1" applyNumberFormat="1" applyFont="1" applyFill="1" applyBorder="1" applyAlignment="1">
      <alignment horizontal="center" vertical="center"/>
    </xf>
    <xf numFmtId="168" fontId="20" fillId="0" borderId="11" xfId="1" applyNumberFormat="1" applyFont="1" applyFill="1" applyBorder="1" applyAlignment="1">
      <alignment horizontal="center" vertical="center"/>
    </xf>
    <xf numFmtId="43" fontId="20" fillId="0" borderId="11" xfId="1" applyFont="1" applyFill="1" applyBorder="1" applyAlignment="1">
      <alignment horizontal="center" vertical="center"/>
    </xf>
    <xf numFmtId="0" fontId="34" fillId="0" borderId="11" xfId="0" applyFont="1" applyFill="1" applyBorder="1" applyAlignment="1">
      <alignment vertical="center"/>
    </xf>
    <xf numFmtId="43" fontId="20" fillId="0" borderId="11" xfId="1" applyFont="1" applyFill="1" applyBorder="1" applyAlignment="1">
      <alignment vertical="center"/>
    </xf>
    <xf numFmtId="164" fontId="4" fillId="0" borderId="11" xfId="0" applyNumberFormat="1" applyFont="1" applyFill="1" applyBorder="1" applyAlignment="1">
      <alignment horizontal="center" vertical="center"/>
    </xf>
    <xf numFmtId="168" fontId="27" fillId="4" borderId="11" xfId="1" applyNumberFormat="1" applyFont="1" applyFill="1" applyBorder="1" applyAlignment="1">
      <alignment horizontal="center" vertical="center" wrapText="1"/>
    </xf>
    <xf numFmtId="168" fontId="27" fillId="9" borderId="11" xfId="1" applyNumberFormat="1" applyFont="1" applyFill="1" applyBorder="1" applyAlignment="1">
      <alignment horizontal="center" vertical="center" wrapText="1"/>
    </xf>
    <xf numFmtId="166" fontId="27" fillId="9" borderId="11" xfId="1" applyNumberFormat="1" applyFont="1" applyFill="1" applyBorder="1" applyAlignment="1">
      <alignment horizontal="center" vertical="center" wrapText="1"/>
    </xf>
    <xf numFmtId="0" fontId="4" fillId="0" borderId="33" xfId="2" applyFont="1" applyFill="1" applyBorder="1" applyAlignment="1">
      <alignment horizontal="center" vertical="center" wrapText="1"/>
    </xf>
    <xf numFmtId="43" fontId="4" fillId="0" borderId="33" xfId="1" applyFont="1" applyFill="1" applyBorder="1" applyAlignment="1">
      <alignment horizontal="center" vertical="center" wrapText="1"/>
    </xf>
    <xf numFmtId="166" fontId="4" fillId="0" borderId="32" xfId="1" applyNumberFormat="1" applyFont="1" applyFill="1" applyBorder="1" applyAlignment="1">
      <alignment horizontal="center" vertical="center" wrapText="1"/>
    </xf>
    <xf numFmtId="0" fontId="2" fillId="3" borderId="11" xfId="0" applyFont="1" applyFill="1" applyBorder="1" applyAlignment="1">
      <alignment horizontal="center" vertical="center"/>
    </xf>
    <xf numFmtId="0" fontId="9" fillId="0" borderId="23" xfId="0" applyFont="1" applyFill="1" applyBorder="1" applyAlignment="1">
      <alignment vertical="center"/>
    </xf>
    <xf numFmtId="166" fontId="9" fillId="0" borderId="23" xfId="1" applyNumberFormat="1" applyFont="1" applyFill="1" applyBorder="1" applyAlignment="1">
      <alignment vertical="center"/>
    </xf>
    <xf numFmtId="164" fontId="9" fillId="0" borderId="23" xfId="0" applyNumberFormat="1" applyFont="1" applyFill="1" applyBorder="1" applyAlignment="1">
      <alignment vertical="center"/>
    </xf>
    <xf numFmtId="0" fontId="9" fillId="0" borderId="11" xfId="0" applyFont="1" applyFill="1" applyBorder="1" applyAlignment="1">
      <alignment vertical="center"/>
    </xf>
    <xf numFmtId="164" fontId="14" fillId="0" borderId="16" xfId="0" applyNumberFormat="1" applyFont="1" applyFill="1" applyBorder="1" applyAlignment="1">
      <alignment horizontal="center" vertical="center" wrapText="1"/>
    </xf>
    <xf numFmtId="166" fontId="12" fillId="0" borderId="16" xfId="0" applyNumberFormat="1" applyFont="1" applyFill="1" applyBorder="1" applyAlignment="1">
      <alignment horizontal="center" vertical="center"/>
    </xf>
    <xf numFmtId="164" fontId="10" fillId="0" borderId="16" xfId="0" applyNumberFormat="1" applyFont="1" applyFill="1" applyBorder="1" applyAlignment="1">
      <alignment horizontal="center" vertical="center" wrapText="1"/>
    </xf>
    <xf numFmtId="0" fontId="10" fillId="0" borderId="16" xfId="0" applyFont="1" applyFill="1" applyBorder="1" applyAlignment="1">
      <alignment horizontal="center" vertical="center" wrapText="1"/>
    </xf>
    <xf numFmtId="165" fontId="10" fillId="0" borderId="13" xfId="0" applyNumberFormat="1" applyFont="1" applyFill="1" applyBorder="1" applyAlignment="1">
      <alignment horizontal="center" vertical="center" wrapText="1"/>
    </xf>
    <xf numFmtId="1" fontId="14" fillId="0" borderId="11" xfId="0" applyNumberFormat="1" applyFont="1" applyFill="1" applyBorder="1" applyAlignment="1">
      <alignment horizontal="center" vertical="center" wrapText="1"/>
    </xf>
    <xf numFmtId="166" fontId="14" fillId="0" borderId="11" xfId="1" applyNumberFormat="1" applyFont="1" applyFill="1" applyBorder="1" applyAlignment="1">
      <alignment horizontal="center" vertical="center" wrapText="1"/>
    </xf>
    <xf numFmtId="166" fontId="14" fillId="0" borderId="19" xfId="1" applyNumberFormat="1" applyFont="1" applyFill="1" applyBorder="1" applyAlignment="1">
      <alignment horizontal="center" vertical="center" wrapText="1"/>
    </xf>
    <xf numFmtId="14" fontId="14" fillId="0" borderId="11" xfId="0" applyNumberFormat="1" applyFont="1" applyFill="1" applyBorder="1" applyAlignment="1">
      <alignment vertical="center" wrapText="1"/>
    </xf>
    <xf numFmtId="164" fontId="14" fillId="0" borderId="11" xfId="0" applyNumberFormat="1" applyFont="1" applyFill="1" applyBorder="1" applyAlignment="1">
      <alignment horizontal="center" vertical="center" wrapText="1"/>
    </xf>
    <xf numFmtId="166" fontId="14" fillId="0" borderId="32" xfId="1" applyNumberFormat="1" applyFont="1" applyFill="1" applyBorder="1" applyAlignment="1">
      <alignment vertical="center" wrapText="1"/>
    </xf>
    <xf numFmtId="166" fontId="10" fillId="0" borderId="32" xfId="1" applyNumberFormat="1" applyFont="1" applyFill="1" applyBorder="1" applyAlignment="1">
      <alignment vertical="center" wrapText="1"/>
    </xf>
    <xf numFmtId="168" fontId="10" fillId="0" borderId="11" xfId="0" applyNumberFormat="1" applyFont="1" applyFill="1" applyBorder="1" applyAlignment="1">
      <alignment horizontal="center" vertical="center" wrapText="1"/>
    </xf>
    <xf numFmtId="43" fontId="14" fillId="0" borderId="47" xfId="1" applyFont="1" applyFill="1" applyBorder="1" applyAlignment="1">
      <alignment horizontal="center" vertical="center" wrapText="1"/>
    </xf>
    <xf numFmtId="2" fontId="12" fillId="0" borderId="11" xfId="0" applyNumberFormat="1" applyFont="1" applyFill="1" applyBorder="1" applyAlignment="1">
      <alignment horizontal="center" vertical="center" wrapText="1"/>
    </xf>
    <xf numFmtId="164" fontId="12" fillId="0" borderId="11" xfId="0" applyNumberFormat="1" applyFont="1" applyFill="1" applyBorder="1" applyAlignment="1">
      <alignment horizontal="center" vertical="center" wrapText="1"/>
    </xf>
    <xf numFmtId="166" fontId="16" fillId="0" borderId="32" xfId="1" applyNumberFormat="1" applyFont="1" applyFill="1" applyBorder="1" applyAlignment="1">
      <alignment horizontal="center" vertical="center" wrapText="1"/>
    </xf>
    <xf numFmtId="0" fontId="12" fillId="0" borderId="33" xfId="0" applyFont="1" applyFill="1" applyBorder="1"/>
    <xf numFmtId="166" fontId="12" fillId="0" borderId="32" xfId="1" applyNumberFormat="1" applyFont="1" applyFill="1" applyBorder="1"/>
    <xf numFmtId="0" fontId="12" fillId="0" borderId="32" xfId="0" applyFont="1" applyFill="1" applyBorder="1"/>
    <xf numFmtId="164" fontId="12" fillId="0" borderId="11" xfId="0" applyNumberFormat="1" applyFont="1" applyFill="1" applyBorder="1" applyAlignment="1">
      <alignment horizontal="center"/>
    </xf>
    <xf numFmtId="173" fontId="10" fillId="0" borderId="12" xfId="1" applyNumberFormat="1" applyFont="1" applyFill="1" applyBorder="1" applyAlignment="1">
      <alignment vertical="center" wrapText="1"/>
    </xf>
    <xf numFmtId="164" fontId="37" fillId="0" borderId="11" xfId="0" applyNumberFormat="1" applyFont="1" applyFill="1" applyBorder="1" applyAlignment="1">
      <alignment horizontal="center" vertical="center" wrapText="1"/>
    </xf>
    <xf numFmtId="166" fontId="38" fillId="0" borderId="11" xfId="0" applyNumberFormat="1" applyFont="1" applyFill="1" applyBorder="1" applyAlignment="1">
      <alignment horizontal="center" vertical="center"/>
    </xf>
    <xf numFmtId="168" fontId="37" fillId="0" borderId="11" xfId="0" applyNumberFormat="1" applyFont="1" applyFill="1" applyBorder="1" applyAlignment="1">
      <alignment horizontal="center" vertical="center" wrapText="1"/>
    </xf>
    <xf numFmtId="43" fontId="10" fillId="0" borderId="0" xfId="1" applyFont="1" applyFill="1" applyBorder="1" applyAlignment="1">
      <alignment horizontal="center" vertical="center" wrapText="1"/>
    </xf>
    <xf numFmtId="166" fontId="18" fillId="0" borderId="0" xfId="0" applyNumberFormat="1" applyFont="1" applyFill="1" applyBorder="1" applyAlignment="1">
      <alignment horizontal="center" vertical="center"/>
    </xf>
    <xf numFmtId="0" fontId="10" fillId="0" borderId="33" xfId="0" applyFont="1" applyFill="1" applyBorder="1" applyAlignment="1">
      <alignment vertical="center" wrapText="1"/>
    </xf>
    <xf numFmtId="0" fontId="12" fillId="0" borderId="0" xfId="0" applyFont="1" applyFill="1" applyBorder="1"/>
    <xf numFmtId="166" fontId="14" fillId="0" borderId="36" xfId="1" applyNumberFormat="1" applyFont="1" applyFill="1" applyBorder="1" applyAlignment="1">
      <alignment vertical="center" wrapText="1"/>
    </xf>
    <xf numFmtId="2" fontId="14" fillId="0" borderId="13" xfId="0" applyNumberFormat="1" applyFont="1" applyFill="1" applyBorder="1" applyAlignment="1">
      <alignment vertical="center" wrapText="1"/>
    </xf>
    <xf numFmtId="2" fontId="14" fillId="0" borderId="11" xfId="0" applyNumberFormat="1" applyFont="1" applyFill="1" applyBorder="1" applyAlignment="1">
      <alignment vertical="center" wrapText="1"/>
    </xf>
    <xf numFmtId="166" fontId="16" fillId="0" borderId="36" xfId="1" applyNumberFormat="1" applyFont="1" applyFill="1" applyBorder="1" applyAlignment="1">
      <alignment horizontal="center" vertical="center" wrapText="1"/>
    </xf>
    <xf numFmtId="167" fontId="14" fillId="0" borderId="11" xfId="1" applyNumberFormat="1" applyFont="1" applyFill="1" applyBorder="1" applyAlignment="1">
      <alignment horizontal="center" vertical="center" wrapText="1"/>
    </xf>
    <xf numFmtId="43" fontId="10" fillId="0" borderId="33" xfId="1" applyFont="1" applyFill="1" applyBorder="1" applyAlignment="1">
      <alignment horizontal="center" vertical="center" wrapText="1"/>
    </xf>
    <xf numFmtId="166" fontId="12" fillId="4" borderId="5" xfId="0" applyNumberFormat="1" applyFont="1" applyFill="1" applyBorder="1" applyAlignment="1">
      <alignment horizontal="center" vertical="center"/>
    </xf>
    <xf numFmtId="2" fontId="10" fillId="4" borderId="13" xfId="0" applyNumberFormat="1" applyFont="1" applyFill="1" applyBorder="1" applyAlignment="1">
      <alignment vertical="center" wrapText="1"/>
    </xf>
    <xf numFmtId="0" fontId="10" fillId="6" borderId="13" xfId="0" applyFont="1" applyFill="1" applyBorder="1" applyAlignment="1">
      <alignment horizontal="center" vertical="center" wrapText="1"/>
    </xf>
    <xf numFmtId="0" fontId="11" fillId="7" borderId="25" xfId="0" applyFont="1" applyFill="1" applyBorder="1" applyAlignment="1">
      <alignment vertical="center"/>
    </xf>
    <xf numFmtId="0" fontId="11" fillId="7" borderId="25" xfId="0" applyFont="1" applyFill="1" applyBorder="1" applyAlignment="1">
      <alignment horizontal="center" vertical="center"/>
    </xf>
    <xf numFmtId="164" fontId="22" fillId="7" borderId="25" xfId="0" applyNumberFormat="1" applyFont="1" applyFill="1" applyBorder="1" applyAlignment="1">
      <alignment horizontal="center" vertical="center"/>
    </xf>
    <xf numFmtId="166" fontId="22" fillId="7" borderId="25" xfId="1" applyNumberFormat="1" applyFont="1" applyFill="1" applyBorder="1" applyAlignment="1">
      <alignment horizontal="center" vertical="center"/>
    </xf>
    <xf numFmtId="166" fontId="11" fillId="7" borderId="25" xfId="1" applyNumberFormat="1" applyFont="1" applyFill="1" applyBorder="1" applyAlignment="1">
      <alignment horizontal="center" vertical="center"/>
    </xf>
    <xf numFmtId="1" fontId="11" fillId="7" borderId="25" xfId="0" applyNumberFormat="1" applyFont="1" applyFill="1" applyBorder="1" applyAlignment="1">
      <alignment horizontal="center" vertical="center"/>
    </xf>
    <xf numFmtId="166" fontId="11" fillId="7" borderId="25" xfId="0" applyNumberFormat="1" applyFont="1" applyFill="1" applyBorder="1" applyAlignment="1">
      <alignment horizontal="center" vertical="center"/>
    </xf>
    <xf numFmtId="164" fontId="11" fillId="7" borderId="25" xfId="0" applyNumberFormat="1" applyFont="1" applyFill="1" applyBorder="1" applyAlignment="1">
      <alignment horizontal="center" vertical="center"/>
    </xf>
    <xf numFmtId="166" fontId="11" fillId="7" borderId="25" xfId="1" applyNumberFormat="1" applyFont="1" applyFill="1" applyBorder="1" applyAlignment="1">
      <alignment vertical="center"/>
    </xf>
    <xf numFmtId="164" fontId="11" fillId="7" borderId="25" xfId="0" applyNumberFormat="1" applyFont="1" applyFill="1" applyBorder="1" applyAlignment="1">
      <alignment vertical="center"/>
    </xf>
    <xf numFmtId="166" fontId="11" fillId="8" borderId="25" xfId="1" applyNumberFormat="1" applyFont="1" applyFill="1" applyBorder="1" applyAlignment="1">
      <alignment vertical="center"/>
    </xf>
    <xf numFmtId="166" fontId="10" fillId="8" borderId="25" xfId="1" applyNumberFormat="1" applyFont="1" applyFill="1" applyBorder="1" applyAlignment="1">
      <alignment horizontal="center" vertical="center" wrapText="1"/>
    </xf>
    <xf numFmtId="0" fontId="12" fillId="8" borderId="25" xfId="0" applyFont="1" applyFill="1" applyBorder="1"/>
    <xf numFmtId="164" fontId="12" fillId="8" borderId="25" xfId="0" applyNumberFormat="1" applyFont="1" applyFill="1" applyBorder="1"/>
    <xf numFmtId="166" fontId="12" fillId="8" borderId="25" xfId="1" applyNumberFormat="1" applyFont="1" applyFill="1" applyBorder="1"/>
    <xf numFmtId="0" fontId="12" fillId="8" borderId="11" xfId="0" applyFont="1" applyFill="1" applyBorder="1"/>
    <xf numFmtId="164" fontId="40" fillId="0" borderId="11" xfId="0" applyNumberFormat="1" applyFont="1" applyBorder="1" applyAlignment="1">
      <alignment horizontal="center" vertical="center" wrapText="1"/>
    </xf>
    <xf numFmtId="0" fontId="41" fillId="0" borderId="11" xfId="0" applyFont="1" applyBorder="1" applyAlignment="1">
      <alignment horizontal="center" vertical="center" wrapText="1"/>
    </xf>
    <xf numFmtId="0" fontId="27" fillId="0" borderId="11" xfId="0" applyFont="1" applyBorder="1" applyAlignment="1">
      <alignment horizontal="left" vertical="center" wrapText="1"/>
    </xf>
    <xf numFmtId="0" fontId="42" fillId="0" borderId="11" xfId="0" applyFont="1" applyBorder="1" applyAlignment="1">
      <alignment horizontal="center" vertical="center" wrapText="1"/>
    </xf>
    <xf numFmtId="0" fontId="43" fillId="0" borderId="11" xfId="0" applyFont="1" applyBorder="1" applyAlignment="1">
      <alignment horizontal="center" vertical="center" wrapText="1"/>
    </xf>
    <xf numFmtId="164" fontId="43" fillId="0" borderId="11" xfId="1" applyNumberFormat="1" applyFont="1" applyFill="1" applyBorder="1" applyAlignment="1">
      <alignment horizontal="center" vertical="center" wrapText="1"/>
    </xf>
    <xf numFmtId="0" fontId="44" fillId="0" borderId="11" xfId="0" applyFont="1" applyBorder="1" applyAlignment="1">
      <alignment horizontal="center" vertical="center"/>
    </xf>
    <xf numFmtId="166" fontId="44" fillId="0" borderId="11" xfId="1" applyNumberFormat="1" applyFont="1" applyBorder="1" applyAlignment="1">
      <alignment vertical="center"/>
    </xf>
    <xf numFmtId="0" fontId="44" fillId="0" borderId="11" xfId="0" applyFont="1" applyBorder="1" applyAlignment="1">
      <alignment vertical="center"/>
    </xf>
    <xf numFmtId="164" fontId="44" fillId="0" borderId="11" xfId="0" applyNumberFormat="1" applyFont="1" applyBorder="1" applyAlignment="1">
      <alignment horizontal="center" vertical="center"/>
    </xf>
    <xf numFmtId="0" fontId="40" fillId="12" borderId="11" xfId="0" applyFont="1" applyFill="1" applyBorder="1" applyAlignment="1">
      <alignment vertical="center"/>
    </xf>
    <xf numFmtId="1" fontId="49" fillId="2" borderId="11" xfId="0" applyNumberFormat="1" applyFont="1" applyFill="1" applyBorder="1" applyAlignment="1">
      <alignment horizontal="center" vertical="center"/>
    </xf>
    <xf numFmtId="174" fontId="4" fillId="0" borderId="11" xfId="0" applyNumberFormat="1" applyFont="1" applyFill="1" applyBorder="1" applyAlignment="1">
      <alignment horizontal="center" vertical="center" wrapText="1"/>
    </xf>
    <xf numFmtId="0" fontId="4" fillId="0" borderId="11" xfId="0" applyFont="1" applyFill="1" applyBorder="1" applyAlignment="1">
      <alignment horizontal="center" vertical="center" wrapText="1"/>
    </xf>
    <xf numFmtId="2" fontId="4" fillId="0" borderId="11" xfId="0" applyNumberFormat="1"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1" xfId="0" applyFont="1" applyFill="1" applyBorder="1" applyAlignment="1">
      <alignment horizontal="center" vertical="center"/>
    </xf>
    <xf numFmtId="0" fontId="13" fillId="0" borderId="11" xfId="3" applyFont="1" applyFill="1" applyBorder="1" applyAlignment="1">
      <alignment horizontal="center" vertical="center"/>
    </xf>
    <xf numFmtId="0" fontId="3" fillId="0" borderId="11" xfId="8" applyFont="1" applyFill="1" applyBorder="1" applyAlignment="1">
      <alignment horizontal="left" vertical="center" wrapText="1"/>
    </xf>
    <xf numFmtId="174" fontId="41" fillId="0" borderId="11" xfId="0" applyNumberFormat="1" applyFont="1" applyFill="1" applyBorder="1" applyAlignment="1">
      <alignment horizontal="center" vertical="center" wrapText="1"/>
    </xf>
    <xf numFmtId="14" fontId="41" fillId="0" borderId="11" xfId="0" applyNumberFormat="1" applyFont="1" applyFill="1" applyBorder="1" applyAlignment="1">
      <alignment horizontal="center" vertical="center" wrapText="1"/>
    </xf>
    <xf numFmtId="2" fontId="41" fillId="0" borderId="11" xfId="0" applyNumberFormat="1" applyFont="1" applyFill="1" applyBorder="1" applyAlignment="1">
      <alignment horizontal="center" vertical="center" wrapText="1"/>
    </xf>
    <xf numFmtId="0" fontId="3" fillId="0" borderId="11" xfId="8" applyFill="1" applyBorder="1" applyAlignment="1">
      <alignment horizontal="left" vertical="center" wrapText="1"/>
    </xf>
    <xf numFmtId="174" fontId="47" fillId="0" borderId="11" xfId="0" applyNumberFormat="1" applyFont="1" applyFill="1" applyBorder="1" applyAlignment="1">
      <alignment horizontal="center" vertical="center" wrapText="1"/>
    </xf>
    <xf numFmtId="14" fontId="47" fillId="0" borderId="11" xfId="0" applyNumberFormat="1" applyFont="1" applyFill="1" applyBorder="1" applyAlignment="1">
      <alignment horizontal="center" vertical="center" wrapText="1"/>
    </xf>
    <xf numFmtId="2" fontId="47" fillId="0" borderId="11" xfId="0" applyNumberFormat="1" applyFont="1" applyFill="1" applyBorder="1" applyAlignment="1">
      <alignment horizontal="center" vertical="center" wrapText="1"/>
    </xf>
    <xf numFmtId="0" fontId="0" fillId="0" borderId="11" xfId="0" applyFont="1" applyFill="1" applyBorder="1" applyAlignment="1">
      <alignment horizontal="center" vertical="center"/>
    </xf>
    <xf numFmtId="0" fontId="3" fillId="0" borderId="11" xfId="8" applyFont="1" applyFill="1" applyBorder="1" applyAlignment="1">
      <alignment vertical="center" wrapText="1"/>
    </xf>
    <xf numFmtId="174" fontId="41" fillId="0" borderId="57" xfId="0" applyNumberFormat="1" applyFont="1" applyFill="1" applyBorder="1" applyAlignment="1">
      <alignment horizontal="center" vertical="center" wrapText="1"/>
    </xf>
    <xf numFmtId="14" fontId="41" fillId="0" borderId="57" xfId="0" applyNumberFormat="1" applyFont="1" applyFill="1" applyBorder="1" applyAlignment="1">
      <alignment horizontal="center" vertical="center" wrapText="1"/>
    </xf>
    <xf numFmtId="0" fontId="41" fillId="0" borderId="57" xfId="0" applyFont="1" applyFill="1" applyBorder="1" applyAlignment="1">
      <alignment horizontal="center" vertical="center" wrapText="1"/>
    </xf>
    <xf numFmtId="0" fontId="41" fillId="0" borderId="23" xfId="0" applyFont="1" applyFill="1" applyBorder="1" applyAlignment="1">
      <alignment horizontal="center" vertical="center" wrapText="1"/>
    </xf>
    <xf numFmtId="0" fontId="41" fillId="0" borderId="25" xfId="0" applyFont="1" applyFill="1" applyBorder="1" applyAlignment="1">
      <alignment horizontal="center" vertical="center" wrapText="1"/>
    </xf>
    <xf numFmtId="0" fontId="7" fillId="0" borderId="25" xfId="0" applyFont="1" applyFill="1" applyBorder="1" applyAlignment="1">
      <alignment horizontal="center" vertical="center" wrapText="1"/>
    </xf>
    <xf numFmtId="174" fontId="41" fillId="0" borderId="25" xfId="0" applyNumberFormat="1" applyFont="1" applyFill="1" applyBorder="1" applyAlignment="1">
      <alignment horizontal="center" vertical="center" wrapText="1"/>
    </xf>
    <xf numFmtId="14" fontId="41" fillId="0" borderId="25" xfId="0" applyNumberFormat="1" applyFont="1" applyFill="1" applyBorder="1" applyAlignment="1">
      <alignment horizontal="center" vertical="center" wrapText="1"/>
    </xf>
    <xf numFmtId="2" fontId="41" fillId="0" borderId="25" xfId="0" applyNumberFormat="1" applyFont="1" applyFill="1" applyBorder="1" applyAlignment="1">
      <alignment horizontal="center" vertical="center" wrapText="1"/>
    </xf>
    <xf numFmtId="0" fontId="0" fillId="0" borderId="57" xfId="0" applyFont="1" applyFill="1" applyBorder="1" applyAlignment="1">
      <alignment horizontal="center" vertical="center"/>
    </xf>
    <xf numFmtId="0" fontId="13" fillId="0" borderId="25" xfId="3" applyFont="1" applyFill="1" applyBorder="1" applyAlignment="1">
      <alignment horizontal="center" vertical="center"/>
    </xf>
    <xf numFmtId="0" fontId="3" fillId="0" borderId="25" xfId="8" applyFill="1" applyBorder="1" applyAlignment="1">
      <alignment horizontal="left" vertical="center" wrapText="1"/>
    </xf>
    <xf numFmtId="0" fontId="0" fillId="0" borderId="0" xfId="0" applyFill="1"/>
    <xf numFmtId="167" fontId="47" fillId="0" borderId="11" xfId="0" applyNumberFormat="1" applyFont="1" applyFill="1" applyBorder="1" applyAlignment="1">
      <alignment horizontal="center" vertical="center"/>
    </xf>
    <xf numFmtId="0" fontId="27" fillId="0" borderId="11" xfId="0" applyFont="1" applyFill="1" applyBorder="1" applyAlignment="1">
      <alignment vertical="center" wrapText="1"/>
    </xf>
    <xf numFmtId="49" fontId="0" fillId="0" borderId="0" xfId="0" applyNumberFormat="1" applyBorder="1" applyAlignment="1">
      <alignment horizontal="center" vertical="center"/>
    </xf>
    <xf numFmtId="0" fontId="0" fillId="0" borderId="0" xfId="0" applyBorder="1"/>
    <xf numFmtId="164" fontId="0" fillId="0" borderId="0" xfId="0" applyNumberFormat="1" applyBorder="1"/>
    <xf numFmtId="174" fontId="0" fillId="0" borderId="0" xfId="0" applyNumberFormat="1" applyBorder="1"/>
    <xf numFmtId="174" fontId="0" fillId="0" borderId="0" xfId="0" applyNumberFormat="1" applyFill="1" applyBorder="1"/>
    <xf numFmtId="166" fontId="11" fillId="0" borderId="11" xfId="1" applyNumberFormat="1" applyFont="1" applyFill="1" applyBorder="1" applyAlignment="1">
      <alignment horizontal="center" vertical="center"/>
    </xf>
    <xf numFmtId="166" fontId="21" fillId="0" borderId="11" xfId="1" applyNumberFormat="1" applyFont="1" applyFill="1" applyBorder="1" applyAlignment="1">
      <alignment horizontal="center" vertical="center"/>
    </xf>
    <xf numFmtId="167" fontId="11" fillId="0" borderId="11" xfId="0" applyNumberFormat="1" applyFont="1" applyFill="1" applyBorder="1" applyAlignment="1">
      <alignment horizontal="center" vertical="center"/>
    </xf>
    <xf numFmtId="166" fontId="22" fillId="0" borderId="11" xfId="1" applyNumberFormat="1" applyFont="1" applyFill="1" applyBorder="1" applyAlignment="1">
      <alignment horizontal="center" vertical="center"/>
    </xf>
    <xf numFmtId="0" fontId="63" fillId="0" borderId="0" xfId="0" applyFont="1"/>
    <xf numFmtId="165" fontId="19" fillId="0" borderId="11" xfId="1" applyNumberFormat="1" applyFont="1" applyFill="1" applyBorder="1" applyAlignment="1">
      <alignment horizontal="center" vertical="center" wrapText="1"/>
    </xf>
    <xf numFmtId="165" fontId="11" fillId="9" borderId="11" xfId="1" applyNumberFormat="1" applyFont="1" applyFill="1" applyBorder="1" applyAlignment="1">
      <alignment horizontal="center" vertical="center" wrapText="1"/>
    </xf>
    <xf numFmtId="165" fontId="33" fillId="0" borderId="11" xfId="1" applyNumberFormat="1" applyFont="1" applyFill="1" applyBorder="1" applyAlignment="1">
      <alignment horizontal="center" vertical="center"/>
    </xf>
    <xf numFmtId="165" fontId="20" fillId="0" borderId="11" xfId="1" applyNumberFormat="1" applyFont="1" applyFill="1" applyBorder="1" applyAlignment="1">
      <alignment horizontal="center" vertical="center"/>
    </xf>
    <xf numFmtId="165" fontId="0" fillId="0" borderId="0" xfId="0" applyNumberFormat="1"/>
    <xf numFmtId="2" fontId="17" fillId="0" borderId="11" xfId="2" applyNumberFormat="1" applyFont="1" applyFill="1" applyBorder="1" applyAlignment="1">
      <alignment horizontal="center" vertical="center" wrapText="1"/>
    </xf>
    <xf numFmtId="2" fontId="15" fillId="0" borderId="11" xfId="0" applyNumberFormat="1" applyFont="1" applyFill="1" applyBorder="1" applyAlignment="1">
      <alignment horizontal="center" vertical="center"/>
    </xf>
    <xf numFmtId="2" fontId="11" fillId="0" borderId="11" xfId="0" applyNumberFormat="1" applyFont="1" applyFill="1" applyBorder="1" applyAlignment="1">
      <alignment horizontal="center" vertical="center"/>
    </xf>
    <xf numFmtId="2" fontId="11" fillId="0" borderId="11" xfId="1" applyNumberFormat="1" applyFont="1" applyFill="1" applyBorder="1" applyAlignment="1">
      <alignment horizontal="center" vertical="center"/>
    </xf>
    <xf numFmtId="2" fontId="21" fillId="0" borderId="11" xfId="0" applyNumberFormat="1" applyFont="1" applyFill="1" applyBorder="1" applyAlignment="1">
      <alignment vertical="center"/>
    </xf>
    <xf numFmtId="2" fontId="15" fillId="0" borderId="11" xfId="0" applyNumberFormat="1" applyFont="1" applyFill="1" applyBorder="1" applyAlignment="1">
      <alignment vertical="center"/>
    </xf>
    <xf numFmtId="2" fontId="11" fillId="9" borderId="11" xfId="0" applyNumberFormat="1" applyFont="1" applyFill="1" applyBorder="1" applyAlignment="1">
      <alignment horizontal="center" vertical="center" wrapText="1"/>
    </xf>
    <xf numFmtId="2" fontId="33" fillId="0" borderId="11" xfId="0" applyNumberFormat="1" applyFont="1" applyFill="1" applyBorder="1" applyAlignment="1">
      <alignment horizontal="center" vertical="center"/>
    </xf>
    <xf numFmtId="2" fontId="20" fillId="0" borderId="11" xfId="0" applyNumberFormat="1" applyFont="1" applyFill="1" applyBorder="1" applyAlignment="1">
      <alignment horizontal="center" vertical="center"/>
    </xf>
    <xf numFmtId="2" fontId="33" fillId="0" borderId="11" xfId="1" applyNumberFormat="1" applyFont="1" applyFill="1" applyBorder="1" applyAlignment="1">
      <alignment horizontal="center" vertical="center"/>
    </xf>
    <xf numFmtId="2" fontId="27" fillId="4" borderId="11" xfId="0" applyNumberFormat="1" applyFont="1" applyFill="1" applyBorder="1" applyAlignment="1">
      <alignment horizontal="center" vertical="center" wrapText="1"/>
    </xf>
    <xf numFmtId="2" fontId="27" fillId="9" borderId="11" xfId="0" applyNumberFormat="1" applyFont="1" applyFill="1" applyBorder="1" applyAlignment="1">
      <alignment horizontal="center" vertical="center" wrapText="1"/>
    </xf>
    <xf numFmtId="2" fontId="0" fillId="0" borderId="0" xfId="0" applyNumberFormat="1"/>
    <xf numFmtId="2" fontId="11" fillId="0" borderId="11" xfId="1" applyNumberFormat="1" applyFont="1" applyFill="1" applyBorder="1" applyAlignment="1">
      <alignment vertical="center"/>
    </xf>
    <xf numFmtId="43" fontId="0" fillId="0" borderId="0" xfId="1" applyFont="1"/>
    <xf numFmtId="2" fontId="20" fillId="0" borderId="11" xfId="0" applyNumberFormat="1" applyFont="1" applyFill="1" applyBorder="1" applyAlignment="1">
      <alignment vertical="center"/>
    </xf>
    <xf numFmtId="166" fontId="40" fillId="0" borderId="11" xfId="1" applyNumberFormat="1" applyFont="1" applyBorder="1" applyAlignment="1">
      <alignment horizontal="center" wrapText="1"/>
    </xf>
    <xf numFmtId="0" fontId="47" fillId="0" borderId="11" xfId="0" applyFont="1" applyBorder="1" applyAlignment="1">
      <alignment vertical="center" wrapText="1"/>
    </xf>
    <xf numFmtId="0" fontId="0" fillId="0" borderId="0" xfId="0" applyAlignment="1">
      <alignment horizontal="center"/>
    </xf>
    <xf numFmtId="0" fontId="47" fillId="0" borderId="11" xfId="0" applyNumberFormat="1" applyFont="1" applyFill="1" applyBorder="1" applyAlignment="1">
      <alignment horizontal="center" vertical="center"/>
    </xf>
    <xf numFmtId="164" fontId="22" fillId="6" borderId="23" xfId="0" applyNumberFormat="1" applyFont="1" applyFill="1" applyBorder="1" applyAlignment="1">
      <alignment horizontal="left" vertical="center" wrapText="1"/>
    </xf>
    <xf numFmtId="0" fontId="10" fillId="11" borderId="11" xfId="0" applyFont="1" applyFill="1" applyBorder="1" applyAlignment="1">
      <alignment vertical="center" wrapText="1"/>
    </xf>
    <xf numFmtId="2" fontId="10" fillId="11" borderId="11" xfId="0" applyNumberFormat="1" applyFont="1" applyFill="1" applyBorder="1" applyAlignment="1">
      <alignment vertical="center" wrapText="1"/>
    </xf>
    <xf numFmtId="2" fontId="10" fillId="11" borderId="11" xfId="1" applyNumberFormat="1" applyFont="1" applyFill="1" applyBorder="1" applyAlignment="1">
      <alignment vertical="center" wrapText="1"/>
    </xf>
    <xf numFmtId="2" fontId="10" fillId="8" borderId="11" xfId="0" applyNumberFormat="1" applyFont="1" applyFill="1" applyBorder="1" applyAlignment="1">
      <alignment horizontal="center" vertical="center" wrapText="1"/>
    </xf>
    <xf numFmtId="2" fontId="10" fillId="8" borderId="11" xfId="1" applyNumberFormat="1" applyFont="1" applyFill="1" applyBorder="1" applyAlignment="1">
      <alignment horizontal="center" vertical="center" wrapText="1"/>
    </xf>
    <xf numFmtId="2" fontId="10" fillId="8" borderId="11" xfId="0" applyNumberFormat="1" applyFont="1" applyFill="1" applyBorder="1" applyAlignment="1">
      <alignment vertical="center" wrapText="1"/>
    </xf>
    <xf numFmtId="176" fontId="10" fillId="0" borderId="11" xfId="0" applyNumberFormat="1" applyFont="1" applyBorder="1" applyAlignment="1">
      <alignment horizontal="center" vertical="center" wrapText="1"/>
    </xf>
    <xf numFmtId="0" fontId="12" fillId="0" borderId="11" xfId="0" applyFont="1" applyFill="1" applyBorder="1" applyAlignment="1">
      <alignment horizontal="center" vertical="center" wrapText="1"/>
    </xf>
    <xf numFmtId="0" fontId="12" fillId="0" borderId="11" xfId="0" applyFont="1" applyFill="1" applyBorder="1" applyAlignment="1">
      <alignment horizontal="center" wrapText="1"/>
    </xf>
    <xf numFmtId="164" fontId="22" fillId="6" borderId="23" xfId="0" applyNumberFormat="1" applyFont="1" applyFill="1" applyBorder="1" applyAlignment="1">
      <alignment horizontal="left" vertical="center" wrapText="1"/>
    </xf>
    <xf numFmtId="0" fontId="49" fillId="2" borderId="11" xfId="0" applyFont="1" applyFill="1" applyBorder="1" applyAlignment="1">
      <alignment horizontal="center" vertical="center"/>
    </xf>
    <xf numFmtId="0" fontId="12" fillId="0" borderId="11" xfId="0" applyFont="1" applyFill="1" applyBorder="1" applyAlignment="1">
      <alignment vertical="center"/>
    </xf>
    <xf numFmtId="3" fontId="27" fillId="0" borderId="11" xfId="0" applyNumberFormat="1" applyFont="1" applyFill="1" applyBorder="1" applyAlignment="1">
      <alignment vertical="center" wrapText="1"/>
    </xf>
    <xf numFmtId="43" fontId="10" fillId="0" borderId="11" xfId="1" applyFont="1" applyFill="1" applyBorder="1" applyAlignment="1">
      <alignment vertical="center" wrapText="1"/>
    </xf>
    <xf numFmtId="43" fontId="16" fillId="0" borderId="11" xfId="1" applyFont="1" applyFill="1" applyBorder="1" applyAlignment="1">
      <alignment vertical="center" wrapText="1"/>
    </xf>
    <xf numFmtId="166" fontId="10" fillId="0" borderId="11" xfId="1" applyNumberFormat="1" applyFont="1" applyFill="1" applyBorder="1" applyAlignment="1">
      <alignment vertical="center" wrapText="1"/>
    </xf>
    <xf numFmtId="3" fontId="16" fillId="0" borderId="11" xfId="0" applyNumberFormat="1" applyFont="1" applyFill="1" applyBorder="1" applyAlignment="1">
      <alignment vertical="center" wrapText="1"/>
    </xf>
    <xf numFmtId="0" fontId="20" fillId="0" borderId="11" xfId="0" applyFont="1" applyFill="1" applyBorder="1" applyAlignment="1">
      <alignment vertical="center" wrapText="1"/>
    </xf>
    <xf numFmtId="43" fontId="14" fillId="0" borderId="42" xfId="1" applyFont="1" applyFill="1" applyBorder="1" applyAlignment="1">
      <alignment vertical="center" wrapText="1"/>
    </xf>
    <xf numFmtId="168" fontId="15" fillId="0" borderId="11" xfId="1" applyNumberFormat="1" applyFont="1" applyFill="1" applyBorder="1" applyAlignment="1">
      <alignment horizontal="center" vertical="center"/>
    </xf>
    <xf numFmtId="168" fontId="15" fillId="0" borderId="11" xfId="0" applyNumberFormat="1" applyFont="1" applyFill="1" applyBorder="1" applyAlignment="1">
      <alignment horizontal="center" vertical="center"/>
    </xf>
    <xf numFmtId="0" fontId="34" fillId="0" borderId="11" xfId="0" applyFont="1" applyFill="1" applyBorder="1" applyAlignment="1">
      <alignment horizontal="center" vertical="center"/>
    </xf>
    <xf numFmtId="165" fontId="0" fillId="0" borderId="0" xfId="0" applyNumberFormat="1" applyAlignment="1">
      <alignment horizontal="center"/>
    </xf>
    <xf numFmtId="0" fontId="15" fillId="0" borderId="11" xfId="0" applyFont="1" applyFill="1" applyBorder="1" applyAlignment="1">
      <alignment horizontal="center" vertical="center" wrapText="1"/>
    </xf>
    <xf numFmtId="166" fontId="11" fillId="7" borderId="11" xfId="0" applyNumberFormat="1" applyFont="1" applyFill="1" applyBorder="1" applyAlignment="1">
      <alignment vertical="center"/>
    </xf>
    <xf numFmtId="166" fontId="10" fillId="0" borderId="11" xfId="0" applyNumberFormat="1" applyFont="1" applyBorder="1" applyAlignment="1">
      <alignment horizontal="center" vertical="center" wrapText="1"/>
    </xf>
    <xf numFmtId="166" fontId="10" fillId="11" borderId="11" xfId="0" applyNumberFormat="1" applyFont="1" applyFill="1" applyBorder="1" applyAlignment="1">
      <alignment vertical="center" wrapText="1"/>
    </xf>
    <xf numFmtId="166" fontId="10" fillId="8" borderId="11" xfId="0" applyNumberFormat="1" applyFont="1" applyFill="1" applyBorder="1" applyAlignment="1">
      <alignment horizontal="center" vertical="center" wrapText="1"/>
    </xf>
    <xf numFmtId="166" fontId="9" fillId="4" borderId="11" xfId="0" applyNumberFormat="1" applyFont="1" applyFill="1" applyBorder="1" applyAlignment="1">
      <alignment vertical="center" wrapText="1"/>
    </xf>
    <xf numFmtId="166" fontId="10" fillId="9" borderId="11" xfId="0" applyNumberFormat="1" applyFont="1" applyFill="1" applyBorder="1" applyAlignment="1">
      <alignment horizontal="center" vertical="center" wrapText="1"/>
    </xf>
    <xf numFmtId="166" fontId="0" fillId="0" borderId="0" xfId="0" applyNumberFormat="1"/>
    <xf numFmtId="165" fontId="21" fillId="0" borderId="11" xfId="1" applyNumberFormat="1" applyFont="1" applyFill="1" applyBorder="1" applyAlignment="1">
      <alignment horizontal="center" vertical="center"/>
    </xf>
    <xf numFmtId="0" fontId="36" fillId="0" borderId="11" xfId="3" applyFont="1" applyFill="1" applyBorder="1" applyAlignment="1">
      <alignment horizontal="center" vertical="center"/>
    </xf>
    <xf numFmtId="0" fontId="0" fillId="0" borderId="0" xfId="0" applyAlignment="1">
      <alignment vertical="center"/>
    </xf>
    <xf numFmtId="2" fontId="3" fillId="0" borderId="11" xfId="9" applyNumberFormat="1" applyFill="1" applyBorder="1" applyAlignment="1">
      <alignment horizontal="center" vertical="center" wrapText="1"/>
    </xf>
    <xf numFmtId="2" fontId="7" fillId="0" borderId="11" xfId="9" applyNumberFormat="1" applyFont="1" applyFill="1" applyBorder="1" applyAlignment="1">
      <alignment horizontal="center" vertical="center"/>
    </xf>
    <xf numFmtId="2" fontId="3" fillId="0" borderId="11" xfId="9" applyNumberFormat="1" applyFont="1" applyFill="1" applyBorder="1" applyAlignment="1">
      <alignment horizontal="center" vertical="center" wrapText="1"/>
    </xf>
    <xf numFmtId="2" fontId="41" fillId="0" borderId="57" xfId="0" applyNumberFormat="1" applyFont="1" applyFill="1" applyBorder="1" applyAlignment="1">
      <alignment horizontal="center" vertical="center" wrapText="1"/>
    </xf>
    <xf numFmtId="164" fontId="11" fillId="0" borderId="11" xfId="0" applyNumberFormat="1" applyFont="1" applyFill="1" applyBorder="1" applyAlignment="1">
      <alignment horizontal="center" vertical="center"/>
    </xf>
    <xf numFmtId="0" fontId="21" fillId="0" borderId="11" xfId="0" applyFont="1" applyFill="1" applyBorder="1" applyAlignment="1">
      <alignment horizontal="center" vertical="center"/>
    </xf>
    <xf numFmtId="0" fontId="10" fillId="0" borderId="25" xfId="0" applyFont="1" applyFill="1" applyBorder="1" applyAlignment="1">
      <alignment horizontal="center" vertical="center" wrapText="1"/>
    </xf>
    <xf numFmtId="0" fontId="10" fillId="0" borderId="41" xfId="0" applyFont="1" applyFill="1" applyBorder="1" applyAlignment="1">
      <alignment horizontal="center" vertical="center" wrapText="1"/>
    </xf>
    <xf numFmtId="0" fontId="10" fillId="0" borderId="11" xfId="0" applyFont="1" applyFill="1" applyBorder="1" applyAlignment="1">
      <alignment horizontal="center" vertical="center" wrapText="1"/>
    </xf>
    <xf numFmtId="43" fontId="10" fillId="0" borderId="11" xfId="1" applyFont="1" applyFill="1" applyBorder="1" applyAlignment="1">
      <alignment horizontal="center" vertical="center" wrapText="1"/>
    </xf>
    <xf numFmtId="0" fontId="16" fillId="0" borderId="23" xfId="0" applyFont="1" applyFill="1" applyBorder="1" applyAlignment="1">
      <alignment horizontal="center" vertical="center" wrapText="1"/>
    </xf>
    <xf numFmtId="43" fontId="14" fillId="0" borderId="11" xfId="1" applyFont="1" applyFill="1" applyBorder="1" applyAlignment="1">
      <alignment horizontal="center" vertical="center" wrapText="1"/>
    </xf>
    <xf numFmtId="166" fontId="14" fillId="0" borderId="24" xfId="1" applyNumberFormat="1" applyFont="1" applyFill="1" applyBorder="1" applyAlignment="1">
      <alignment horizontal="center" vertical="center" wrapText="1"/>
    </xf>
    <xf numFmtId="0" fontId="10" fillId="0" borderId="13" xfId="0" applyFont="1" applyFill="1" applyBorder="1" applyAlignment="1">
      <alignment horizontal="center" vertical="center" wrapText="1"/>
    </xf>
    <xf numFmtId="164" fontId="16" fillId="0" borderId="23" xfId="0" applyNumberFormat="1" applyFont="1" applyFill="1" applyBorder="1" applyAlignment="1">
      <alignment horizontal="center" vertical="center" wrapText="1"/>
    </xf>
    <xf numFmtId="0" fontId="10" fillId="0" borderId="33" xfId="0" applyFont="1" applyFill="1" applyBorder="1" applyAlignment="1">
      <alignment horizontal="center" vertical="center" wrapText="1"/>
    </xf>
    <xf numFmtId="164" fontId="10" fillId="0" borderId="11" xfId="0" applyNumberFormat="1" applyFont="1" applyFill="1" applyBorder="1" applyAlignment="1">
      <alignment horizontal="center" vertical="center" wrapText="1"/>
    </xf>
    <xf numFmtId="166" fontId="10" fillId="0" borderId="12" xfId="1" applyNumberFormat="1" applyFont="1" applyFill="1" applyBorder="1" applyAlignment="1">
      <alignment horizontal="center" vertical="center" wrapText="1"/>
    </xf>
    <xf numFmtId="0" fontId="10" fillId="0" borderId="11" xfId="0" applyFont="1" applyFill="1" applyBorder="1" applyAlignment="1">
      <alignment vertical="center" wrapText="1"/>
    </xf>
    <xf numFmtId="166" fontId="12" fillId="0" borderId="11" xfId="0" applyNumberFormat="1" applyFont="1" applyFill="1" applyBorder="1" applyAlignment="1">
      <alignment horizontal="center" vertical="center"/>
    </xf>
    <xf numFmtId="0" fontId="16" fillId="0" borderId="11" xfId="0" applyFont="1" applyFill="1" applyBorder="1" applyAlignment="1">
      <alignment horizontal="center" vertical="center" wrapText="1"/>
    </xf>
    <xf numFmtId="164" fontId="16" fillId="0" borderId="11" xfId="0" applyNumberFormat="1" applyFont="1" applyFill="1" applyBorder="1" applyAlignment="1">
      <alignment horizontal="center" vertical="center" wrapText="1"/>
    </xf>
    <xf numFmtId="0" fontId="10" fillId="0" borderId="47" xfId="0" applyFont="1" applyFill="1" applyBorder="1" applyAlignment="1">
      <alignment horizontal="center" vertical="center" wrapText="1"/>
    </xf>
    <xf numFmtId="43" fontId="9" fillId="0" borderId="25" xfId="1" applyFont="1" applyFill="1" applyBorder="1" applyAlignment="1">
      <alignment horizontal="center" vertical="center"/>
    </xf>
    <xf numFmtId="2" fontId="14" fillId="0" borderId="13" xfId="0" applyNumberFormat="1" applyFont="1" applyFill="1" applyBorder="1" applyAlignment="1">
      <alignment horizontal="center" vertical="center" wrapText="1"/>
    </xf>
    <xf numFmtId="2" fontId="14" fillId="0" borderId="11" xfId="0" applyNumberFormat="1" applyFont="1" applyFill="1" applyBorder="1" applyAlignment="1">
      <alignment horizontal="center" vertical="center" wrapText="1"/>
    </xf>
    <xf numFmtId="14" fontId="14" fillId="0" borderId="11" xfId="0" applyNumberFormat="1" applyFont="1" applyFill="1" applyBorder="1" applyAlignment="1">
      <alignment horizontal="center" vertical="center" wrapText="1"/>
    </xf>
    <xf numFmtId="166" fontId="14" fillId="0" borderId="12" xfId="1" applyNumberFormat="1" applyFont="1" applyFill="1" applyBorder="1" applyAlignment="1">
      <alignment horizontal="center" vertical="center" wrapText="1"/>
    </xf>
    <xf numFmtId="2" fontId="14" fillId="0" borderId="25" xfId="0" applyNumberFormat="1" applyFont="1" applyFill="1" applyBorder="1" applyAlignment="1">
      <alignment horizontal="center" vertical="center" wrapText="1"/>
    </xf>
    <xf numFmtId="43" fontId="24" fillId="0" borderId="12" xfId="1" applyFont="1" applyFill="1" applyBorder="1" applyAlignment="1">
      <alignment horizontal="center" vertical="center" wrapText="1"/>
    </xf>
    <xf numFmtId="0" fontId="14" fillId="0" borderId="11" xfId="0" applyFont="1" applyFill="1" applyBorder="1" applyAlignment="1">
      <alignment horizontal="center" vertical="center" wrapText="1"/>
    </xf>
    <xf numFmtId="2" fontId="24" fillId="0" borderId="11" xfId="5" applyNumberFormat="1" applyFont="1" applyFill="1" applyBorder="1" applyAlignment="1">
      <alignment horizontal="left" vertical="center" wrapText="1"/>
    </xf>
    <xf numFmtId="43" fontId="25" fillId="0" borderId="11" xfId="1" applyFont="1" applyFill="1" applyBorder="1" applyAlignment="1">
      <alignment horizontal="center" vertical="center" wrapText="1"/>
    </xf>
    <xf numFmtId="43" fontId="14" fillId="0" borderId="33" xfId="1" applyFont="1" applyFill="1" applyBorder="1" applyAlignment="1">
      <alignment horizontal="center" vertical="center" wrapText="1"/>
    </xf>
    <xf numFmtId="43" fontId="14" fillId="0" borderId="13" xfId="1" applyFont="1" applyFill="1" applyBorder="1" applyAlignment="1">
      <alignment horizontal="center" vertical="center" wrapText="1"/>
    </xf>
    <xf numFmtId="166" fontId="10" fillId="0" borderId="32" xfId="1" applyNumberFormat="1" applyFont="1" applyFill="1" applyBorder="1" applyAlignment="1">
      <alignment horizontal="center" vertical="center" wrapText="1"/>
    </xf>
    <xf numFmtId="0" fontId="16" fillId="0" borderId="47" xfId="0" applyFont="1" applyFill="1" applyBorder="1" applyAlignment="1">
      <alignment horizontal="center" vertical="center" wrapText="1"/>
    </xf>
    <xf numFmtId="0" fontId="16" fillId="0" borderId="13" xfId="0" applyFont="1" applyFill="1" applyBorder="1" applyAlignment="1">
      <alignment horizontal="center" vertical="center" wrapText="1"/>
    </xf>
    <xf numFmtId="2" fontId="14" fillId="0" borderId="30" xfId="0" applyNumberFormat="1" applyFont="1" applyFill="1" applyBorder="1" applyAlignment="1">
      <alignment horizontal="center" vertical="center" wrapText="1"/>
    </xf>
    <xf numFmtId="166" fontId="10" fillId="0" borderId="36" xfId="1" applyNumberFormat="1" applyFont="1" applyFill="1" applyBorder="1" applyAlignment="1">
      <alignment horizontal="center" vertical="center" wrapText="1"/>
    </xf>
    <xf numFmtId="166" fontId="10" fillId="0" borderId="38" xfId="1" applyNumberFormat="1" applyFont="1" applyFill="1" applyBorder="1" applyAlignment="1">
      <alignment horizontal="center" vertical="center" wrapText="1"/>
    </xf>
    <xf numFmtId="2" fontId="24" fillId="0" borderId="11" xfId="5" applyNumberFormat="1" applyFont="1" applyFill="1" applyBorder="1" applyAlignment="1">
      <alignment vertical="center" wrapText="1"/>
    </xf>
    <xf numFmtId="2" fontId="14" fillId="0" borderId="28" xfId="0" applyNumberFormat="1" applyFont="1" applyFill="1" applyBorder="1" applyAlignment="1">
      <alignment horizontal="center" vertical="center" wrapText="1"/>
    </xf>
    <xf numFmtId="43" fontId="12" fillId="0" borderId="47" xfId="1" applyFont="1" applyFill="1" applyBorder="1" applyAlignment="1">
      <alignment horizontal="center" vertical="center" wrapText="1"/>
    </xf>
    <xf numFmtId="43" fontId="12" fillId="0" borderId="13" xfId="1" applyFont="1" applyFill="1" applyBorder="1" applyAlignment="1">
      <alignment horizontal="center" vertical="center" wrapText="1"/>
    </xf>
    <xf numFmtId="166" fontId="10" fillId="0" borderId="52" xfId="1" applyNumberFormat="1" applyFont="1" applyFill="1" applyBorder="1" applyAlignment="1">
      <alignment horizontal="center" vertical="center" wrapText="1"/>
    </xf>
    <xf numFmtId="0" fontId="10" fillId="0" borderId="49" xfId="0" applyFont="1" applyFill="1" applyBorder="1" applyAlignment="1">
      <alignment horizontal="center" vertical="center" wrapText="1"/>
    </xf>
    <xf numFmtId="164" fontId="18" fillId="4" borderId="11" xfId="1" applyNumberFormat="1" applyFont="1" applyFill="1" applyBorder="1" applyAlignment="1">
      <alignment horizontal="center" vertical="center"/>
    </xf>
    <xf numFmtId="1" fontId="18" fillId="4" borderId="33" xfId="0" applyNumberFormat="1" applyFont="1" applyFill="1" applyBorder="1" applyAlignment="1">
      <alignment horizontal="center" vertical="center"/>
    </xf>
    <xf numFmtId="0" fontId="18" fillId="4" borderId="11" xfId="0" applyFont="1" applyFill="1" applyBorder="1" applyAlignment="1">
      <alignment horizontal="left" vertical="center"/>
    </xf>
    <xf numFmtId="0" fontId="18" fillId="4" borderId="11" xfId="0" applyFont="1" applyFill="1" applyBorder="1" applyAlignment="1">
      <alignment horizontal="left" vertical="center" wrapText="1"/>
    </xf>
    <xf numFmtId="0" fontId="64" fillId="0" borderId="11" xfId="2" applyFont="1" applyFill="1" applyBorder="1" applyAlignment="1">
      <alignment horizontal="center" vertical="center" wrapText="1"/>
    </xf>
    <xf numFmtId="0" fontId="51" fillId="0" borderId="0" xfId="0" applyFont="1"/>
    <xf numFmtId="0" fontId="52" fillId="0" borderId="11" xfId="0" applyFont="1" applyFill="1" applyBorder="1" applyAlignment="1">
      <alignment horizontal="left" vertical="center" wrapText="1"/>
    </xf>
    <xf numFmtId="164" fontId="22" fillId="11" borderId="0" xfId="0" applyNumberFormat="1" applyFont="1" applyFill="1" applyBorder="1" applyAlignment="1">
      <alignment horizontal="center" vertical="center" wrapText="1"/>
    </xf>
    <xf numFmtId="164" fontId="22" fillId="11" borderId="8" xfId="0" applyNumberFormat="1" applyFont="1" applyFill="1" applyBorder="1" applyAlignment="1">
      <alignment horizontal="center" vertical="center" wrapText="1"/>
    </xf>
    <xf numFmtId="165" fontId="22" fillId="11" borderId="8" xfId="1" applyNumberFormat="1" applyFont="1" applyFill="1" applyBorder="1" applyAlignment="1">
      <alignment vertical="center" wrapText="1"/>
    </xf>
    <xf numFmtId="0" fontId="27" fillId="6" borderId="11" xfId="0" applyFont="1" applyFill="1" applyBorder="1" applyAlignment="1">
      <alignment horizontal="center" vertical="center" wrapText="1"/>
    </xf>
    <xf numFmtId="0" fontId="27" fillId="6" borderId="11" xfId="0" applyFont="1" applyFill="1" applyBorder="1" applyAlignment="1">
      <alignment vertical="center" wrapText="1"/>
    </xf>
    <xf numFmtId="0" fontId="27" fillId="0" borderId="11" xfId="0" applyFont="1" applyBorder="1" applyAlignment="1">
      <alignment horizontal="center" vertical="center" wrapText="1"/>
    </xf>
    <xf numFmtId="0" fontId="27" fillId="0" borderId="33" xfId="0" applyFont="1" applyBorder="1" applyAlignment="1">
      <alignment horizontal="center" vertical="center" wrapText="1"/>
    </xf>
    <xf numFmtId="0" fontId="27" fillId="4" borderId="11" xfId="0" applyFont="1" applyFill="1" applyBorder="1" applyAlignment="1">
      <alignment vertical="center" wrapText="1"/>
    </xf>
    <xf numFmtId="0" fontId="20" fillId="0" borderId="11" xfId="0" applyFont="1" applyBorder="1"/>
    <xf numFmtId="0" fontId="27" fillId="8" borderId="11" xfId="0" applyFont="1" applyFill="1" applyBorder="1" applyAlignment="1">
      <alignment horizontal="center" vertical="center" wrapText="1"/>
    </xf>
    <xf numFmtId="0" fontId="27" fillId="8" borderId="11" xfId="0" applyFont="1" applyFill="1" applyBorder="1" applyAlignment="1">
      <alignment vertical="center" wrapText="1"/>
    </xf>
    <xf numFmtId="0" fontId="33" fillId="0" borderId="11" xfId="0" applyFont="1" applyFill="1" applyBorder="1" applyAlignment="1">
      <alignment horizontal="center" vertical="center"/>
    </xf>
    <xf numFmtId="0" fontId="33" fillId="0" borderId="11" xfId="0" applyFont="1" applyFill="1" applyBorder="1" applyAlignment="1">
      <alignment horizontal="left" vertical="center" wrapText="1"/>
    </xf>
    <xf numFmtId="0" fontId="27" fillId="0" borderId="11" xfId="0" applyFont="1" applyFill="1" applyBorder="1" applyAlignment="1">
      <alignment horizontal="left" vertical="center" wrapText="1"/>
    </xf>
    <xf numFmtId="0" fontId="20" fillId="0" borderId="11" xfId="0" applyFont="1" applyFill="1" applyBorder="1"/>
    <xf numFmtId="0" fontId="33" fillId="4" borderId="11" xfId="0" applyFont="1" applyFill="1" applyBorder="1" applyAlignment="1">
      <alignment horizontal="center" vertical="center"/>
    </xf>
    <xf numFmtId="0" fontId="27" fillId="4" borderId="11" xfId="0" applyFont="1" applyFill="1" applyBorder="1" applyAlignment="1">
      <alignment horizontal="left" vertical="center" wrapText="1"/>
    </xf>
    <xf numFmtId="0" fontId="27" fillId="4" borderId="11" xfId="0" applyFont="1" applyFill="1" applyBorder="1" applyAlignment="1">
      <alignment horizontal="center" vertical="center" wrapText="1"/>
    </xf>
    <xf numFmtId="0" fontId="20" fillId="4" borderId="11" xfId="0" applyFont="1" applyFill="1" applyBorder="1"/>
    <xf numFmtId="0" fontId="27" fillId="9" borderId="11" xfId="0" applyFont="1" applyFill="1" applyBorder="1" applyAlignment="1">
      <alignment vertical="center" wrapText="1"/>
    </xf>
    <xf numFmtId="0" fontId="20" fillId="9" borderId="11" xfId="0" applyFont="1" applyFill="1" applyBorder="1"/>
    <xf numFmtId="164" fontId="71" fillId="0" borderId="11" xfId="2" applyNumberFormat="1" applyFont="1" applyFill="1" applyBorder="1" applyAlignment="1">
      <alignment horizontal="center" vertical="center" wrapText="1"/>
    </xf>
    <xf numFmtId="173" fontId="22" fillId="11" borderId="11" xfId="1" applyNumberFormat="1" applyFont="1" applyFill="1" applyBorder="1" applyAlignment="1">
      <alignment horizontal="center" vertical="center" wrapText="1"/>
    </xf>
    <xf numFmtId="165" fontId="22" fillId="11" borderId="11" xfId="1" applyNumberFormat="1" applyFont="1" applyFill="1" applyBorder="1" applyAlignment="1">
      <alignment horizontal="center" vertical="center" wrapText="1"/>
    </xf>
    <xf numFmtId="172" fontId="22" fillId="11" borderId="11" xfId="0" applyNumberFormat="1" applyFont="1" applyFill="1" applyBorder="1" applyAlignment="1">
      <alignment horizontal="center" vertical="center" wrapText="1"/>
    </xf>
    <xf numFmtId="164" fontId="22" fillId="11" borderId="11" xfId="0" applyNumberFormat="1" applyFont="1" applyFill="1" applyBorder="1" applyAlignment="1">
      <alignment vertical="center" wrapText="1"/>
    </xf>
    <xf numFmtId="0" fontId="20" fillId="6" borderId="11" xfId="0" applyFont="1" applyFill="1" applyBorder="1"/>
    <xf numFmtId="165" fontId="15" fillId="6" borderId="11" xfId="1" applyNumberFormat="1" applyFont="1" applyFill="1" applyBorder="1" applyAlignment="1">
      <alignment vertical="center"/>
    </xf>
    <xf numFmtId="166" fontId="22" fillId="11" borderId="11" xfId="1" applyNumberFormat="1" applyFont="1" applyFill="1" applyBorder="1" applyAlignment="1">
      <alignment horizontal="center" vertical="center" wrapText="1"/>
    </xf>
    <xf numFmtId="164" fontId="18" fillId="4" borderId="19" xfId="1" applyNumberFormat="1" applyFont="1" applyFill="1" applyBorder="1" applyAlignment="1">
      <alignment horizontal="left" vertical="center" wrapText="1"/>
    </xf>
    <xf numFmtId="164" fontId="12" fillId="4" borderId="11" xfId="1" applyNumberFormat="1" applyFont="1" applyFill="1" applyBorder="1" applyAlignment="1">
      <alignment horizontal="center" vertical="center" wrapText="1"/>
    </xf>
    <xf numFmtId="1" fontId="47" fillId="0" borderId="11" xfId="0" applyNumberFormat="1" applyFont="1" applyFill="1" applyBorder="1" applyAlignment="1">
      <alignment horizontal="center" vertical="center"/>
    </xf>
    <xf numFmtId="1" fontId="0" fillId="0" borderId="0" xfId="0" applyNumberFormat="1"/>
    <xf numFmtId="0" fontId="0" fillId="0" borderId="11" xfId="0" applyBorder="1"/>
    <xf numFmtId="0" fontId="10" fillId="0" borderId="11" xfId="0" applyFont="1" applyFill="1" applyBorder="1" applyAlignment="1">
      <alignment horizontal="center" vertical="center" wrapText="1"/>
    </xf>
    <xf numFmtId="0" fontId="10" fillId="0" borderId="11" xfId="0" applyFont="1" applyFill="1" applyBorder="1" applyAlignment="1">
      <alignment vertical="center" wrapText="1"/>
    </xf>
    <xf numFmtId="0" fontId="12" fillId="0" borderId="11" xfId="0" applyFont="1" applyFill="1" applyBorder="1" applyAlignment="1">
      <alignment horizontal="center" vertical="center"/>
    </xf>
    <xf numFmtId="2" fontId="14" fillId="0" borderId="11" xfId="0" applyNumberFormat="1" applyFont="1" applyFill="1" applyBorder="1" applyAlignment="1">
      <alignment horizontal="center" vertical="center" wrapText="1"/>
    </xf>
    <xf numFmtId="14" fontId="14" fillId="0" borderId="11" xfId="0" applyNumberFormat="1" applyFont="1" applyFill="1" applyBorder="1" applyAlignment="1">
      <alignment horizontal="center" vertical="center" wrapText="1"/>
    </xf>
    <xf numFmtId="0" fontId="14" fillId="0" borderId="11" xfId="0" applyFont="1" applyFill="1" applyBorder="1" applyAlignment="1">
      <alignment horizontal="center" vertical="center" wrapText="1"/>
    </xf>
    <xf numFmtId="0" fontId="41" fillId="0" borderId="11" xfId="0" applyFont="1" applyFill="1" applyBorder="1" applyAlignment="1">
      <alignment horizontal="center" vertical="center" wrapText="1"/>
    </xf>
    <xf numFmtId="0" fontId="7" fillId="0" borderId="11" xfId="0" applyFont="1" applyFill="1" applyBorder="1" applyAlignment="1">
      <alignment horizontal="center" vertical="center"/>
    </xf>
    <xf numFmtId="0" fontId="7" fillId="0" borderId="11" xfId="0" applyFont="1" applyFill="1" applyBorder="1" applyAlignment="1">
      <alignment horizontal="center" vertical="center" wrapText="1"/>
    </xf>
    <xf numFmtId="0" fontId="14" fillId="0" borderId="11" xfId="0" applyFont="1" applyFill="1" applyBorder="1" applyAlignment="1">
      <alignment horizontal="center" vertical="center"/>
    </xf>
    <xf numFmtId="0" fontId="4" fillId="0" borderId="11" xfId="2" applyFont="1" applyFill="1" applyBorder="1" applyAlignment="1">
      <alignment horizontal="center" vertical="center" wrapText="1"/>
    </xf>
    <xf numFmtId="0" fontId="4" fillId="2" borderId="11" xfId="0" applyFont="1" applyFill="1" applyBorder="1" applyAlignment="1">
      <alignment horizontal="center" vertical="center"/>
    </xf>
    <xf numFmtId="0" fontId="4" fillId="2" borderId="11" xfId="0" applyFont="1" applyFill="1" applyBorder="1" applyAlignment="1">
      <alignment horizontal="center" vertical="center" wrapText="1"/>
    </xf>
    <xf numFmtId="164" fontId="12" fillId="0" borderId="11" xfId="1" applyNumberFormat="1" applyFont="1" applyFill="1" applyBorder="1" applyAlignment="1">
      <alignment horizontal="center" vertical="center" wrapText="1"/>
    </xf>
    <xf numFmtId="164" fontId="44" fillId="0" borderId="11" xfId="0" applyNumberFormat="1" applyFont="1" applyFill="1" applyBorder="1" applyAlignment="1">
      <alignment horizontal="center" vertical="center"/>
    </xf>
    <xf numFmtId="167" fontId="14" fillId="4" borderId="11" xfId="1" applyNumberFormat="1" applyFont="1" applyFill="1" applyBorder="1" applyAlignment="1">
      <alignment horizontal="center" vertical="center"/>
    </xf>
    <xf numFmtId="167" fontId="16" fillId="0" borderId="11" xfId="1" applyNumberFormat="1" applyFont="1" applyFill="1" applyBorder="1" applyAlignment="1">
      <alignment horizontal="center" vertical="center"/>
    </xf>
    <xf numFmtId="167" fontId="0" fillId="0" borderId="0" xfId="0" applyNumberFormat="1" applyAlignment="1">
      <alignment horizontal="center"/>
    </xf>
    <xf numFmtId="2" fontId="45" fillId="0" borderId="11" xfId="9" applyNumberFormat="1" applyFont="1" applyFill="1" applyBorder="1" applyAlignment="1">
      <alignment horizontal="center" vertical="center"/>
    </xf>
    <xf numFmtId="2" fontId="60" fillId="0" borderId="11" xfId="9" applyNumberFormat="1" applyFont="1" applyFill="1" applyBorder="1" applyAlignment="1">
      <alignment horizontal="center" vertical="center" wrapText="1"/>
    </xf>
    <xf numFmtId="2" fontId="3" fillId="0" borderId="25" xfId="9" applyNumberFormat="1" applyFill="1" applyBorder="1" applyAlignment="1">
      <alignment horizontal="center" vertical="center" wrapText="1"/>
    </xf>
    <xf numFmtId="2" fontId="47" fillId="0" borderId="11" xfId="9" applyNumberFormat="1" applyFont="1" applyFill="1" applyBorder="1" applyAlignment="1">
      <alignment horizontal="center" vertical="center"/>
    </xf>
    <xf numFmtId="2" fontId="7" fillId="0" borderId="57" xfId="9" applyNumberFormat="1" applyFont="1" applyFill="1" applyBorder="1" applyAlignment="1">
      <alignment horizontal="center" vertical="center"/>
    </xf>
    <xf numFmtId="2" fontId="41" fillId="0" borderId="23" xfId="0" applyNumberFormat="1" applyFont="1" applyFill="1" applyBorder="1" applyAlignment="1">
      <alignment horizontal="center" vertical="center" wrapText="1"/>
    </xf>
    <xf numFmtId="2" fontId="7" fillId="0" borderId="25" xfId="9" applyNumberFormat="1" applyFont="1" applyFill="1" applyBorder="1" applyAlignment="1">
      <alignment horizontal="center" vertical="center"/>
    </xf>
    <xf numFmtId="2" fontId="0" fillId="0" borderId="0" xfId="0" applyNumberFormat="1" applyFill="1"/>
    <xf numFmtId="0" fontId="3" fillId="0" borderId="25" xfId="8" applyFont="1" applyFill="1" applyBorder="1" applyAlignment="1">
      <alignment horizontal="left" vertical="center" wrapText="1"/>
    </xf>
    <xf numFmtId="0" fontId="3" fillId="0" borderId="57" xfId="8" applyFill="1" applyBorder="1" applyAlignment="1">
      <alignment vertical="center" wrapText="1"/>
    </xf>
    <xf numFmtId="2" fontId="3" fillId="0" borderId="57" xfId="9" applyNumberFormat="1" applyFill="1" applyBorder="1" applyAlignment="1">
      <alignment horizontal="center" vertical="center" wrapText="1"/>
    </xf>
    <xf numFmtId="2" fontId="14" fillId="0" borderId="11" xfId="0" applyNumberFormat="1" applyFont="1" applyFill="1" applyBorder="1" applyAlignment="1">
      <alignment horizontal="center" vertical="center"/>
    </xf>
    <xf numFmtId="49" fontId="14" fillId="0" borderId="11" xfId="0" applyNumberFormat="1" applyFont="1" applyFill="1" applyBorder="1" applyAlignment="1">
      <alignment horizontal="center" vertical="center"/>
    </xf>
    <xf numFmtId="174" fontId="14" fillId="0" borderId="11" xfId="0" applyNumberFormat="1" applyFont="1" applyFill="1" applyBorder="1" applyAlignment="1">
      <alignment horizontal="center" vertical="center" wrapText="1"/>
    </xf>
    <xf numFmtId="2" fontId="10" fillId="12" borderId="11" xfId="0" applyNumberFormat="1" applyFont="1" applyFill="1" applyBorder="1" applyAlignment="1">
      <alignment horizontal="center" vertical="center"/>
    </xf>
    <xf numFmtId="174" fontId="10" fillId="12" borderId="11" xfId="0" applyNumberFormat="1" applyFont="1" applyFill="1" applyBorder="1" applyAlignment="1">
      <alignment horizontal="center" vertical="center"/>
    </xf>
    <xf numFmtId="164" fontId="10" fillId="12" borderId="11" xfId="0" applyNumberFormat="1" applyFont="1" applyFill="1" applyBorder="1" applyAlignment="1">
      <alignment horizontal="center" vertical="center"/>
    </xf>
    <xf numFmtId="0" fontId="10" fillId="12" borderId="11" xfId="0" applyFont="1" applyFill="1" applyBorder="1" applyAlignment="1">
      <alignment horizontal="center" vertical="center"/>
    </xf>
    <xf numFmtId="0" fontId="14" fillId="12" borderId="11" xfId="0" applyFont="1" applyFill="1" applyBorder="1" applyAlignment="1">
      <alignment horizontal="center" vertical="center" wrapText="1"/>
    </xf>
    <xf numFmtId="0" fontId="14" fillId="0" borderId="11" xfId="0" applyFont="1" applyBorder="1" applyAlignment="1">
      <alignment horizontal="center" vertical="center"/>
    </xf>
    <xf numFmtId="164" fontId="10" fillId="0" borderId="11" xfId="1" applyNumberFormat="1" applyFont="1" applyFill="1" applyBorder="1" applyAlignment="1">
      <alignment horizontal="left" vertical="center" wrapText="1"/>
    </xf>
    <xf numFmtId="14" fontId="10" fillId="0" borderId="11" xfId="1" applyNumberFormat="1" applyFont="1" applyFill="1" applyBorder="1" applyAlignment="1">
      <alignment horizontal="center" vertical="center" wrapText="1"/>
    </xf>
    <xf numFmtId="174" fontId="10" fillId="0" borderId="11" xfId="1" applyNumberFormat="1" applyFont="1" applyFill="1" applyBorder="1" applyAlignment="1">
      <alignment horizontal="center" vertical="center" wrapText="1"/>
    </xf>
    <xf numFmtId="2" fontId="16" fillId="0" borderId="11" xfId="1" applyNumberFormat="1" applyFont="1" applyFill="1" applyBorder="1" applyAlignment="1">
      <alignment horizontal="center" vertical="center" wrapText="1"/>
    </xf>
    <xf numFmtId="14" fontId="16" fillId="0" borderId="11" xfId="1" applyNumberFormat="1" applyFont="1" applyFill="1" applyBorder="1" applyAlignment="1">
      <alignment horizontal="center" vertical="center" wrapText="1"/>
    </xf>
    <xf numFmtId="2" fontId="16" fillId="0" borderId="11" xfId="0" applyNumberFormat="1" applyFont="1" applyFill="1" applyBorder="1" applyAlignment="1">
      <alignment horizontal="center" vertical="center" wrapText="1"/>
    </xf>
    <xf numFmtId="49" fontId="14" fillId="0" borderId="11" xfId="0" applyNumberFormat="1" applyFont="1" applyFill="1" applyBorder="1" applyAlignment="1">
      <alignment horizontal="center" vertical="center" wrapText="1"/>
    </xf>
    <xf numFmtId="0" fontId="14" fillId="0" borderId="11" xfId="0" applyFont="1" applyFill="1" applyBorder="1" applyAlignment="1">
      <alignment horizontal="left" vertical="center" wrapText="1"/>
    </xf>
    <xf numFmtId="14" fontId="14" fillId="0" borderId="11" xfId="0" applyNumberFormat="1" applyFont="1" applyFill="1" applyBorder="1" applyAlignment="1">
      <alignment horizontal="center" vertical="center"/>
    </xf>
    <xf numFmtId="0" fontId="14" fillId="0" borderId="11" xfId="0" applyFont="1" applyFill="1" applyBorder="1" applyAlignment="1">
      <alignment vertical="center" wrapText="1"/>
    </xf>
    <xf numFmtId="2" fontId="12" fillId="0" borderId="11" xfId="0" applyNumberFormat="1" applyFont="1" applyFill="1" applyBorder="1" applyAlignment="1">
      <alignment horizontal="center" vertical="center"/>
    </xf>
    <xf numFmtId="174" fontId="10" fillId="0" borderId="11" xfId="1" applyNumberFormat="1" applyFont="1" applyBorder="1" applyAlignment="1">
      <alignment horizontal="center" vertical="center" wrapText="1"/>
    </xf>
    <xf numFmtId="174" fontId="14" fillId="0" borderId="11" xfId="0" applyNumberFormat="1" applyFont="1" applyBorder="1" applyAlignment="1">
      <alignment horizontal="center" vertical="center" wrapText="1"/>
    </xf>
    <xf numFmtId="2" fontId="10" fillId="11" borderId="11" xfId="1" applyNumberFormat="1" applyFont="1" applyFill="1" applyBorder="1" applyAlignment="1">
      <alignment horizontal="center" vertical="center"/>
    </xf>
    <xf numFmtId="174" fontId="10" fillId="11" borderId="11" xfId="1" applyNumberFormat="1" applyFont="1" applyFill="1" applyBorder="1" applyAlignment="1">
      <alignment horizontal="center" vertical="center"/>
    </xf>
    <xf numFmtId="164" fontId="10" fillId="11" borderId="11" xfId="1" applyNumberFormat="1" applyFont="1" applyFill="1" applyBorder="1" applyAlignment="1">
      <alignment horizontal="center" vertical="center"/>
    </xf>
    <xf numFmtId="0" fontId="10" fillId="11" borderId="11" xfId="0" applyFont="1" applyFill="1" applyBorder="1" applyAlignment="1">
      <alignment horizontal="center" vertical="center"/>
    </xf>
    <xf numFmtId="0" fontId="14" fillId="11" borderId="11" xfId="0" applyFont="1" applyFill="1" applyBorder="1" applyAlignment="1">
      <alignment horizontal="center" vertical="center" wrapText="1"/>
    </xf>
    <xf numFmtId="2" fontId="16" fillId="14" borderId="11" xfId="0" applyNumberFormat="1" applyFont="1" applyFill="1" applyBorder="1" applyAlignment="1">
      <alignment horizontal="center" vertical="center"/>
    </xf>
    <xf numFmtId="174" fontId="16" fillId="14" borderId="11" xfId="0" applyNumberFormat="1" applyFont="1" applyFill="1" applyBorder="1" applyAlignment="1">
      <alignment horizontal="center" vertical="center"/>
    </xf>
    <xf numFmtId="164" fontId="16" fillId="14" borderId="11" xfId="0" applyNumberFormat="1" applyFont="1" applyFill="1" applyBorder="1" applyAlignment="1">
      <alignment horizontal="center" vertical="center"/>
    </xf>
    <xf numFmtId="0" fontId="16" fillId="14" borderId="11" xfId="0" applyFont="1" applyFill="1" applyBorder="1" applyAlignment="1">
      <alignment horizontal="center" vertical="center"/>
    </xf>
    <xf numFmtId="0" fontId="18" fillId="0" borderId="11" xfId="0" applyFont="1" applyFill="1" applyBorder="1" applyAlignment="1">
      <alignment horizontal="center" vertical="top" wrapText="1"/>
    </xf>
    <xf numFmtId="0" fontId="14" fillId="0" borderId="11" xfId="0" applyFont="1" applyFill="1" applyBorder="1" applyAlignment="1">
      <alignment horizontal="center" vertical="top" wrapText="1"/>
    </xf>
    <xf numFmtId="49" fontId="14" fillId="15" borderId="11" xfId="0" applyNumberFormat="1" applyFont="1" applyFill="1" applyBorder="1" applyAlignment="1">
      <alignment horizontal="center" vertical="center" wrapText="1"/>
    </xf>
    <xf numFmtId="2" fontId="19" fillId="0" borderId="11" xfId="0" applyNumberFormat="1" applyFont="1" applyFill="1" applyBorder="1" applyAlignment="1">
      <alignment horizontal="center" vertical="top" wrapText="1"/>
    </xf>
    <xf numFmtId="2" fontId="17" fillId="0" borderId="11" xfId="0" applyNumberFormat="1" applyFont="1" applyFill="1" applyBorder="1" applyAlignment="1">
      <alignment horizontal="center" vertical="top" wrapText="1"/>
    </xf>
    <xf numFmtId="174" fontId="17" fillId="0" borderId="11" xfId="0" applyNumberFormat="1" applyFont="1" applyFill="1" applyBorder="1" applyAlignment="1">
      <alignment horizontal="center" vertical="top" wrapText="1"/>
    </xf>
    <xf numFmtId="1" fontId="19" fillId="0" borderId="11" xfId="0" applyNumberFormat="1" applyFont="1" applyFill="1" applyBorder="1" applyAlignment="1">
      <alignment horizontal="center" vertical="center"/>
    </xf>
    <xf numFmtId="2" fontId="25" fillId="0" borderId="11" xfId="0" applyNumberFormat="1" applyFont="1" applyFill="1" applyBorder="1" applyAlignment="1">
      <alignment horizontal="center" vertical="top" wrapText="1"/>
    </xf>
    <xf numFmtId="1" fontId="14" fillId="0" borderId="11" xfId="0" applyNumberFormat="1" applyFont="1" applyBorder="1" applyAlignment="1">
      <alignment horizontal="center" vertical="center"/>
    </xf>
    <xf numFmtId="0" fontId="12" fillId="0" borderId="11" xfId="10" applyFont="1" applyFill="1" applyBorder="1" applyAlignment="1">
      <alignment horizontal="left" vertical="center" wrapText="1"/>
    </xf>
    <xf numFmtId="10" fontId="14" fillId="0" borderId="11" xfId="0" applyNumberFormat="1" applyFont="1" applyFill="1" applyBorder="1" applyAlignment="1">
      <alignment horizontal="center" vertical="center" wrapText="1"/>
    </xf>
    <xf numFmtId="14" fontId="12" fillId="0" borderId="11" xfId="0" applyNumberFormat="1" applyFont="1" applyFill="1" applyBorder="1" applyAlignment="1">
      <alignment horizontal="center" vertical="center"/>
    </xf>
    <xf numFmtId="10" fontId="10" fillId="0" borderId="11" xfId="1" applyNumberFormat="1" applyFont="1" applyFill="1" applyBorder="1" applyAlignment="1">
      <alignment horizontal="center" vertical="center" wrapText="1"/>
    </xf>
    <xf numFmtId="2" fontId="12" fillId="0" borderId="11" xfId="5" applyNumberFormat="1" applyFont="1" applyFill="1" applyBorder="1" applyAlignment="1">
      <alignment horizontal="left" vertical="center" wrapText="1"/>
    </xf>
    <xf numFmtId="0" fontId="12" fillId="0" borderId="23" xfId="10" applyFont="1" applyFill="1" applyBorder="1" applyAlignment="1">
      <alignment horizontal="left" vertical="center" wrapText="1"/>
    </xf>
    <xf numFmtId="10" fontId="10" fillId="12" borderId="11" xfId="0" applyNumberFormat="1" applyFont="1" applyFill="1" applyBorder="1" applyAlignment="1">
      <alignment horizontal="center" vertical="center"/>
    </xf>
    <xf numFmtId="2" fontId="0" fillId="0" borderId="0" xfId="0" applyNumberFormat="1" applyBorder="1"/>
    <xf numFmtId="2" fontId="0" fillId="0" borderId="0" xfId="0" applyNumberFormat="1" applyFill="1" applyBorder="1"/>
    <xf numFmtId="165" fontId="15" fillId="6" borderId="11" xfId="1" applyNumberFormat="1" applyFont="1" applyFill="1" applyBorder="1" applyAlignment="1">
      <alignment horizontal="center" vertical="center"/>
    </xf>
    <xf numFmtId="164" fontId="22" fillId="11" borderId="11" xfId="0" applyNumberFormat="1" applyFont="1" applyFill="1" applyBorder="1" applyAlignment="1">
      <alignment horizontal="center" vertical="center" wrapText="1"/>
    </xf>
    <xf numFmtId="164" fontId="11" fillId="0" borderId="11" xfId="0" applyNumberFormat="1" applyFont="1" applyFill="1" applyBorder="1" applyAlignment="1">
      <alignment horizontal="center" vertical="center"/>
    </xf>
    <xf numFmtId="165" fontId="11" fillId="0" borderId="11" xfId="1" applyNumberFormat="1" applyFont="1" applyFill="1" applyBorder="1" applyAlignment="1">
      <alignment horizontal="center" vertical="center"/>
    </xf>
    <xf numFmtId="43" fontId="11" fillId="0" borderId="11" xfId="1" applyFont="1" applyFill="1" applyBorder="1" applyAlignment="1">
      <alignment horizontal="center" vertical="center"/>
    </xf>
    <xf numFmtId="1" fontId="15" fillId="0" borderId="11" xfId="0" applyNumberFormat="1" applyFont="1" applyFill="1" applyBorder="1" applyAlignment="1">
      <alignment horizontal="center" vertical="center"/>
    </xf>
    <xf numFmtId="164" fontId="11" fillId="0" borderId="11" xfId="0" applyNumberFormat="1" applyFont="1" applyFill="1" applyBorder="1" applyAlignment="1">
      <alignment horizontal="center" vertical="center" wrapText="1"/>
    </xf>
    <xf numFmtId="0" fontId="21" fillId="0" borderId="11" xfId="0" applyFont="1" applyFill="1" applyBorder="1" applyAlignment="1">
      <alignment horizontal="center" vertical="center" wrapText="1"/>
    </xf>
    <xf numFmtId="0" fontId="21" fillId="0" borderId="11" xfId="0" applyFont="1" applyFill="1" applyBorder="1" applyAlignment="1">
      <alignment vertical="center"/>
    </xf>
    <xf numFmtId="0" fontId="15" fillId="0" borderId="11" xfId="0" applyFont="1" applyFill="1" applyBorder="1" applyAlignment="1">
      <alignment horizontal="center" vertical="center"/>
    </xf>
    <xf numFmtId="164" fontId="21" fillId="0" borderId="11" xfId="0" applyNumberFormat="1" applyFont="1" applyFill="1" applyBorder="1" applyAlignment="1">
      <alignment horizontal="center" vertical="center"/>
    </xf>
    <xf numFmtId="164" fontId="21" fillId="0" borderId="11" xfId="0" applyNumberFormat="1" applyFont="1" applyFill="1" applyBorder="1" applyAlignment="1">
      <alignment horizontal="center" vertical="center" wrapText="1"/>
    </xf>
    <xf numFmtId="2" fontId="21" fillId="0" borderId="11" xfId="0" applyNumberFormat="1" applyFont="1" applyFill="1" applyBorder="1" applyAlignment="1">
      <alignment horizontal="center" vertical="center"/>
    </xf>
    <xf numFmtId="0" fontId="21" fillId="0" borderId="11" xfId="0" applyFont="1" applyFill="1" applyBorder="1" applyAlignment="1">
      <alignment horizontal="center" vertical="center"/>
    </xf>
    <xf numFmtId="164" fontId="22" fillId="0" borderId="11" xfId="0" applyNumberFormat="1" applyFont="1" applyFill="1" applyBorder="1" applyAlignment="1">
      <alignment horizontal="center" vertical="center"/>
    </xf>
    <xf numFmtId="0" fontId="21" fillId="0" borderId="11" xfId="0" applyFont="1" applyFill="1" applyBorder="1" applyAlignment="1">
      <alignment vertical="center" wrapText="1"/>
    </xf>
    <xf numFmtId="2" fontId="21" fillId="0" borderId="11" xfId="1" applyNumberFormat="1" applyFont="1" applyFill="1" applyBorder="1" applyAlignment="1">
      <alignment horizontal="center" vertical="center"/>
    </xf>
    <xf numFmtId="0" fontId="27" fillId="9" borderId="11" xfId="0" applyFont="1" applyFill="1" applyBorder="1" applyAlignment="1">
      <alignment horizontal="center" vertical="center" wrapText="1"/>
    </xf>
    <xf numFmtId="164" fontId="33" fillId="0" borderId="11" xfId="0" applyNumberFormat="1" applyFont="1" applyFill="1" applyBorder="1" applyAlignment="1">
      <alignment horizontal="center" vertical="center"/>
    </xf>
    <xf numFmtId="0" fontId="13" fillId="0" borderId="11" xfId="3" applyFill="1" applyBorder="1" applyAlignment="1">
      <alignment horizontal="center" vertical="center"/>
    </xf>
    <xf numFmtId="0" fontId="3" fillId="0" borderId="11" xfId="4" applyFill="1" applyBorder="1" applyAlignment="1">
      <alignment horizontal="left" vertical="distributed" wrapText="1"/>
    </xf>
    <xf numFmtId="0" fontId="3" fillId="0" borderId="11" xfId="4" applyFill="1" applyBorder="1" applyAlignment="1">
      <alignment horizontal="center" vertical="center" wrapText="1"/>
    </xf>
    <xf numFmtId="164" fontId="3" fillId="0" borderId="11" xfId="4" applyNumberFormat="1" applyFill="1" applyBorder="1" applyAlignment="1">
      <alignment horizontal="center" vertical="center" wrapText="1"/>
    </xf>
    <xf numFmtId="166" fontId="7" fillId="0" borderId="11" xfId="1" applyNumberFormat="1" applyFont="1" applyFill="1" applyBorder="1" applyAlignment="1">
      <alignment horizontal="center" vertical="center"/>
    </xf>
    <xf numFmtId="43" fontId="33" fillId="0" borderId="11" xfId="1" applyFont="1" applyFill="1" applyBorder="1" applyAlignment="1">
      <alignment horizontal="center" vertical="center"/>
    </xf>
    <xf numFmtId="0" fontId="0" fillId="0" borderId="11" xfId="0" applyBorder="1"/>
    <xf numFmtId="166" fontId="27" fillId="4" borderId="11" xfId="1" applyNumberFormat="1" applyFont="1" applyFill="1" applyBorder="1" applyAlignment="1">
      <alignment horizontal="center" vertical="center" wrapText="1"/>
    </xf>
    <xf numFmtId="0" fontId="15" fillId="11" borderId="11" xfId="0" applyFont="1" applyFill="1" applyBorder="1" applyAlignment="1">
      <alignment horizontal="center" vertical="center" wrapText="1"/>
    </xf>
    <xf numFmtId="0" fontId="15" fillId="11" borderId="11" xfId="0" applyFont="1" applyFill="1" applyBorder="1" applyAlignment="1">
      <alignment horizontal="left" vertical="top" wrapText="1"/>
    </xf>
    <xf numFmtId="168" fontId="11" fillId="0" borderId="11" xfId="1" applyNumberFormat="1" applyFont="1" applyFill="1" applyBorder="1" applyAlignment="1">
      <alignment horizontal="center" vertical="center"/>
    </xf>
    <xf numFmtId="164" fontId="17" fillId="0" borderId="11" xfId="2" applyNumberFormat="1" applyFont="1" applyFill="1" applyBorder="1" applyAlignment="1">
      <alignment horizontal="center" vertical="center" wrapText="1"/>
    </xf>
    <xf numFmtId="0" fontId="10" fillId="0" borderId="11" xfId="0" applyFont="1" applyFill="1" applyBorder="1" applyAlignment="1">
      <alignment horizontal="center" vertical="center" wrapText="1"/>
    </xf>
    <xf numFmtId="166" fontId="10" fillId="0" borderId="11" xfId="1" applyNumberFormat="1" applyFont="1" applyFill="1" applyBorder="1" applyAlignment="1">
      <alignment horizontal="center" vertical="center" wrapText="1"/>
    </xf>
    <xf numFmtId="43" fontId="10" fillId="0" borderId="11" xfId="1" applyFont="1" applyFill="1" applyBorder="1" applyAlignment="1">
      <alignment horizontal="center" vertical="center" wrapText="1"/>
    </xf>
    <xf numFmtId="3" fontId="10" fillId="0" borderId="11" xfId="0" applyNumberFormat="1" applyFont="1" applyFill="1" applyBorder="1" applyAlignment="1">
      <alignment horizontal="center" vertical="center" wrapText="1"/>
    </xf>
    <xf numFmtId="2" fontId="10" fillId="11" borderId="11" xfId="0" applyNumberFormat="1" applyFont="1" applyFill="1" applyBorder="1" applyAlignment="1">
      <alignment horizontal="center" vertical="center" wrapText="1"/>
    </xf>
    <xf numFmtId="2" fontId="10" fillId="4" borderId="1" xfId="0" applyNumberFormat="1" applyFont="1" applyFill="1" applyBorder="1" applyAlignment="1">
      <alignment horizontal="center" vertical="center" wrapText="1"/>
    </xf>
    <xf numFmtId="2" fontId="10" fillId="4" borderId="2" xfId="0" applyNumberFormat="1" applyFont="1" applyFill="1" applyBorder="1" applyAlignment="1">
      <alignment horizontal="center" vertical="center" wrapText="1"/>
    </xf>
    <xf numFmtId="43" fontId="14" fillId="0" borderId="11" xfId="1" applyFont="1" applyFill="1" applyBorder="1" applyAlignment="1">
      <alignment horizontal="center" vertical="center" wrapText="1"/>
    </xf>
    <xf numFmtId="2" fontId="10" fillId="4" borderId="4" xfId="0" applyNumberFormat="1" applyFont="1" applyFill="1" applyBorder="1" applyAlignment="1">
      <alignment horizontal="center" vertical="center" wrapText="1"/>
    </xf>
    <xf numFmtId="0" fontId="12" fillId="0" borderId="11" xfId="0" applyFont="1" applyFill="1" applyBorder="1" applyAlignment="1">
      <alignment horizontal="center"/>
    </xf>
    <xf numFmtId="0" fontId="10" fillId="0" borderId="11" xfId="0" applyFont="1" applyFill="1" applyBorder="1" applyAlignment="1">
      <alignment horizontal="left" vertical="center" wrapText="1"/>
    </xf>
    <xf numFmtId="164" fontId="10" fillId="0" borderId="11" xfId="0" applyNumberFormat="1" applyFont="1" applyFill="1" applyBorder="1" applyAlignment="1">
      <alignment horizontal="center" vertical="center" wrapText="1"/>
    </xf>
    <xf numFmtId="167" fontId="10" fillId="0" borderId="11" xfId="0" applyNumberFormat="1" applyFont="1" applyFill="1" applyBorder="1" applyAlignment="1">
      <alignment horizontal="center" vertical="center" wrapText="1"/>
    </xf>
    <xf numFmtId="0" fontId="10" fillId="0" borderId="11" xfId="0" applyFont="1" applyFill="1" applyBorder="1" applyAlignment="1">
      <alignment vertical="center" wrapText="1"/>
    </xf>
    <xf numFmtId="0" fontId="24" fillId="0" borderId="11" xfId="0" applyFont="1" applyFill="1" applyBorder="1" applyAlignment="1">
      <alignment vertical="center" wrapText="1"/>
    </xf>
    <xf numFmtId="43" fontId="9" fillId="0" borderId="11" xfId="1" applyFont="1" applyFill="1" applyBorder="1" applyAlignment="1">
      <alignment vertical="center" wrapText="1"/>
    </xf>
    <xf numFmtId="0" fontId="27" fillId="0" borderId="11" xfId="0" applyFont="1" applyFill="1" applyBorder="1" applyAlignment="1">
      <alignment horizontal="center" vertical="center" wrapText="1"/>
    </xf>
    <xf numFmtId="166" fontId="12" fillId="0" borderId="11" xfId="0" applyNumberFormat="1" applyFont="1" applyFill="1" applyBorder="1" applyAlignment="1">
      <alignment horizontal="center" vertical="center"/>
    </xf>
    <xf numFmtId="0" fontId="12" fillId="0" borderId="11" xfId="0" applyFont="1" applyFill="1" applyBorder="1" applyAlignment="1">
      <alignment vertical="center" wrapText="1"/>
    </xf>
    <xf numFmtId="0" fontId="16" fillId="0" borderId="11" xfId="0" applyFont="1" applyFill="1" applyBorder="1" applyAlignment="1">
      <alignment horizontal="center" vertical="center" wrapText="1"/>
    </xf>
    <xf numFmtId="164" fontId="16" fillId="0" borderId="11" xfId="0" applyNumberFormat="1" applyFont="1" applyFill="1" applyBorder="1" applyAlignment="1">
      <alignment horizontal="center" vertical="center" wrapText="1"/>
    </xf>
    <xf numFmtId="166" fontId="16" fillId="0" borderId="11" xfId="1" applyNumberFormat="1" applyFont="1" applyFill="1" applyBorder="1" applyAlignment="1">
      <alignment horizontal="center" vertical="center" wrapText="1"/>
    </xf>
    <xf numFmtId="164" fontId="10" fillId="0" borderId="11" xfId="1" applyNumberFormat="1" applyFont="1" applyFill="1" applyBorder="1" applyAlignment="1">
      <alignment horizontal="center" vertical="center" wrapText="1"/>
    </xf>
    <xf numFmtId="0" fontId="12" fillId="0" borderId="11" xfId="0" applyFont="1" applyFill="1" applyBorder="1" applyAlignment="1">
      <alignment horizontal="center" vertical="center"/>
    </xf>
    <xf numFmtId="43" fontId="9" fillId="0" borderId="11" xfId="1" applyFont="1" applyFill="1" applyBorder="1" applyAlignment="1">
      <alignment horizontal="center" vertical="center"/>
    </xf>
    <xf numFmtId="0" fontId="16" fillId="0" borderId="11" xfId="0" applyFont="1" applyFill="1" applyBorder="1" applyAlignment="1">
      <alignment vertical="center" wrapText="1"/>
    </xf>
    <xf numFmtId="0" fontId="4" fillId="0" borderId="11" xfId="2" applyFont="1" applyFill="1" applyBorder="1" applyAlignment="1">
      <alignment horizontal="center" vertical="center" wrapText="1"/>
    </xf>
    <xf numFmtId="164" fontId="4" fillId="0" borderId="11" xfId="2" applyNumberFormat="1" applyFont="1" applyFill="1" applyBorder="1" applyAlignment="1">
      <alignment horizontal="center" vertical="center" wrapText="1"/>
    </xf>
    <xf numFmtId="164" fontId="7" fillId="0" borderId="11" xfId="2" applyNumberFormat="1" applyFont="1" applyFill="1" applyBorder="1" applyAlignment="1">
      <alignment horizontal="center" vertical="center" wrapText="1"/>
    </xf>
    <xf numFmtId="2" fontId="10" fillId="4" borderId="11" xfId="0" applyNumberFormat="1" applyFont="1" applyFill="1" applyBorder="1" applyAlignment="1">
      <alignment horizontal="center" vertical="center" wrapText="1"/>
    </xf>
    <xf numFmtId="2" fontId="10" fillId="4" borderId="11" xfId="1" applyNumberFormat="1" applyFont="1" applyFill="1" applyBorder="1" applyAlignment="1">
      <alignment horizontal="center" vertical="center" wrapText="1"/>
    </xf>
    <xf numFmtId="2" fontId="10" fillId="4" borderId="19" xfId="1" applyNumberFormat="1" applyFont="1" applyFill="1" applyBorder="1" applyAlignment="1">
      <alignment horizontal="center" vertical="center" wrapText="1"/>
    </xf>
    <xf numFmtId="2" fontId="10" fillId="4" borderId="59" xfId="0" applyNumberFormat="1" applyFont="1" applyFill="1" applyBorder="1" applyAlignment="1">
      <alignment horizontal="center" vertical="center" wrapText="1"/>
    </xf>
    <xf numFmtId="2" fontId="14" fillId="0" borderId="11" xfId="0" applyNumberFormat="1" applyFont="1" applyFill="1" applyBorder="1" applyAlignment="1">
      <alignment horizontal="center" vertical="center" wrapText="1"/>
    </xf>
    <xf numFmtId="2" fontId="14" fillId="0" borderId="30" xfId="0" applyNumberFormat="1" applyFont="1" applyFill="1" applyBorder="1" applyAlignment="1">
      <alignment horizontal="center" vertical="center" wrapText="1"/>
    </xf>
    <xf numFmtId="0" fontId="50" fillId="0" borderId="11" xfId="0" applyFont="1" applyBorder="1" applyAlignment="1">
      <alignment horizontal="center" vertical="center" wrapText="1"/>
    </xf>
    <xf numFmtId="0" fontId="4" fillId="2" borderId="33" xfId="0" applyFont="1" applyFill="1" applyBorder="1" applyAlignment="1">
      <alignment horizontal="center" vertical="center"/>
    </xf>
    <xf numFmtId="0" fontId="4" fillId="2" borderId="32" xfId="0" applyFont="1" applyFill="1" applyBorder="1" applyAlignment="1">
      <alignment horizontal="center" vertical="center"/>
    </xf>
    <xf numFmtId="0" fontId="41" fillId="0" borderId="33" xfId="0" applyFont="1" applyBorder="1" applyAlignment="1">
      <alignment horizontal="center" vertical="center" wrapText="1"/>
    </xf>
    <xf numFmtId="0" fontId="40" fillId="12" borderId="32" xfId="0" applyFont="1" applyFill="1" applyBorder="1" applyAlignment="1">
      <alignment vertical="center"/>
    </xf>
    <xf numFmtId="0" fontId="7" fillId="12" borderId="35" xfId="0" applyFont="1" applyFill="1" applyBorder="1" applyAlignment="1">
      <alignment vertical="center" wrapText="1"/>
    </xf>
    <xf numFmtId="164" fontId="61" fillId="12" borderId="35" xfId="0" applyNumberFormat="1" applyFont="1" applyFill="1" applyBorder="1" applyAlignment="1">
      <alignment horizontal="center" vertical="center" wrapText="1"/>
    </xf>
    <xf numFmtId="166" fontId="44" fillId="12" borderId="56" xfId="1" applyNumberFormat="1" applyFont="1" applyFill="1" applyBorder="1" applyAlignment="1">
      <alignment vertical="center"/>
    </xf>
    <xf numFmtId="2" fontId="9" fillId="0" borderId="11" xfId="1" applyNumberFormat="1" applyFont="1" applyFill="1" applyBorder="1" applyAlignment="1">
      <alignment horizontal="center" vertical="center"/>
    </xf>
    <xf numFmtId="164" fontId="18" fillId="0" borderId="11" xfId="0" applyNumberFormat="1" applyFont="1" applyFill="1" applyBorder="1" applyAlignment="1">
      <alignment horizontal="center" vertical="center"/>
    </xf>
    <xf numFmtId="43" fontId="16" fillId="0" borderId="11" xfId="1" applyFont="1" applyFill="1" applyBorder="1" applyAlignment="1">
      <alignment vertical="center"/>
    </xf>
    <xf numFmtId="2" fontId="16" fillId="0" borderId="11" xfId="1" applyNumberFormat="1" applyFont="1" applyFill="1" applyBorder="1" applyAlignment="1">
      <alignment vertical="center"/>
    </xf>
    <xf numFmtId="164" fontId="17" fillId="0" borderId="11" xfId="0" applyNumberFormat="1" applyFont="1" applyFill="1" applyBorder="1" applyAlignment="1">
      <alignment horizontal="center" vertical="center"/>
    </xf>
    <xf numFmtId="2" fontId="12" fillId="0" borderId="11" xfId="0" applyNumberFormat="1" applyFont="1" applyFill="1" applyBorder="1"/>
    <xf numFmtId="0" fontId="11" fillId="0" borderId="11" xfId="0" applyFont="1" applyFill="1" applyBorder="1" applyAlignment="1">
      <alignment horizontal="center" vertical="center"/>
    </xf>
    <xf numFmtId="0" fontId="11" fillId="0" borderId="11" xfId="0" applyFont="1" applyFill="1" applyBorder="1" applyAlignment="1">
      <alignment horizontal="left" vertical="center" wrapText="1"/>
    </xf>
    <xf numFmtId="164" fontId="11" fillId="0" borderId="11" xfId="1" applyNumberFormat="1" applyFont="1" applyFill="1" applyBorder="1" applyAlignment="1">
      <alignment horizontal="center" vertical="center" wrapText="1"/>
    </xf>
    <xf numFmtId="43" fontId="20" fillId="0" borderId="11" xfId="1" applyFont="1" applyFill="1" applyBorder="1"/>
    <xf numFmtId="2" fontId="16" fillId="0" borderId="11" xfId="1" applyNumberFormat="1" applyFont="1" applyFill="1" applyBorder="1" applyAlignment="1">
      <alignment vertical="center" wrapText="1"/>
    </xf>
    <xf numFmtId="175" fontId="11" fillId="0" borderId="11" xfId="1" applyNumberFormat="1" applyFont="1" applyFill="1" applyBorder="1" applyAlignment="1">
      <alignment horizontal="center" vertical="center"/>
    </xf>
    <xf numFmtId="168" fontId="9" fillId="0" borderId="11" xfId="1" applyNumberFormat="1" applyFont="1" applyFill="1" applyBorder="1" applyAlignment="1">
      <alignment horizontal="center" vertical="center"/>
    </xf>
    <xf numFmtId="43" fontId="11" fillId="0" borderId="11" xfId="1" applyFont="1" applyFill="1" applyBorder="1" applyAlignment="1">
      <alignment vertical="center"/>
    </xf>
    <xf numFmtId="43" fontId="19" fillId="0" borderId="11" xfId="1" applyFont="1" applyFill="1" applyBorder="1" applyAlignment="1">
      <alignment vertical="center" wrapText="1"/>
    </xf>
    <xf numFmtId="43" fontId="16" fillId="0" borderId="11" xfId="1" applyFont="1" applyFill="1" applyBorder="1" applyAlignment="1">
      <alignment horizontal="center" vertical="center" wrapText="1"/>
    </xf>
    <xf numFmtId="2" fontId="16" fillId="0" borderId="11" xfId="1" applyNumberFormat="1" applyFont="1" applyFill="1" applyBorder="1" applyAlignment="1">
      <alignment horizontal="center" vertical="center"/>
    </xf>
    <xf numFmtId="43" fontId="16" fillId="0" borderId="11" xfId="1" applyFont="1" applyFill="1" applyBorder="1" applyAlignment="1">
      <alignment horizontal="center" vertical="center"/>
    </xf>
    <xf numFmtId="166" fontId="19" fillId="0" borderId="11" xfId="1" applyNumberFormat="1" applyFont="1" applyFill="1" applyBorder="1" applyAlignment="1">
      <alignment horizontal="center" vertical="center" wrapText="1"/>
    </xf>
    <xf numFmtId="166" fontId="22" fillId="0" borderId="11" xfId="1" applyNumberFormat="1" applyFont="1" applyFill="1" applyBorder="1" applyAlignment="1">
      <alignment horizontal="center" vertical="center" wrapText="1"/>
    </xf>
    <xf numFmtId="168" fontId="19" fillId="0" borderId="11" xfId="1" applyNumberFormat="1" applyFont="1" applyFill="1" applyBorder="1" applyAlignment="1">
      <alignment horizontal="center" vertical="center" wrapText="1"/>
    </xf>
    <xf numFmtId="2" fontId="17" fillId="0" borderId="11" xfId="0" applyNumberFormat="1" applyFont="1" applyFill="1" applyBorder="1" applyAlignment="1">
      <alignment horizontal="center" vertical="center"/>
    </xf>
    <xf numFmtId="2" fontId="22" fillId="0" borderId="11" xfId="1" applyNumberFormat="1" applyFont="1" applyFill="1" applyBorder="1" applyAlignment="1">
      <alignment horizontal="center" vertical="center" wrapText="1"/>
    </xf>
    <xf numFmtId="165" fontId="22" fillId="0" borderId="11" xfId="1" applyNumberFormat="1" applyFont="1" applyFill="1" applyBorder="1" applyAlignment="1">
      <alignment horizontal="center" vertical="center" wrapText="1"/>
    </xf>
    <xf numFmtId="165" fontId="22" fillId="0" borderId="11" xfId="1" applyNumberFormat="1" applyFont="1" applyFill="1" applyBorder="1" applyAlignment="1">
      <alignment vertical="center" wrapText="1"/>
    </xf>
    <xf numFmtId="165" fontId="11" fillId="0" borderId="11" xfId="1" applyNumberFormat="1" applyFont="1" applyFill="1" applyBorder="1" applyAlignment="1">
      <alignment vertical="center"/>
    </xf>
    <xf numFmtId="165" fontId="21" fillId="0" borderId="11" xfId="0" applyNumberFormat="1" applyFont="1" applyFill="1" applyBorder="1" applyAlignment="1">
      <alignment vertical="center"/>
    </xf>
    <xf numFmtId="168" fontId="22" fillId="11" borderId="6" xfId="1" applyNumberFormat="1" applyFont="1" applyFill="1" applyBorder="1" applyAlignment="1">
      <alignment horizontal="center" vertical="center" wrapText="1"/>
    </xf>
    <xf numFmtId="0" fontId="63" fillId="0" borderId="11" xfId="0" applyFont="1" applyBorder="1"/>
    <xf numFmtId="169" fontId="17" fillId="0" borderId="11" xfId="1" applyNumberFormat="1" applyFont="1" applyFill="1" applyBorder="1" applyAlignment="1">
      <alignment horizontal="center" vertical="center" wrapText="1"/>
    </xf>
    <xf numFmtId="166" fontId="17" fillId="0" borderId="11" xfId="1" applyNumberFormat="1" applyFont="1" applyFill="1" applyBorder="1" applyAlignment="1">
      <alignment horizontal="center" vertical="center" wrapText="1"/>
    </xf>
    <xf numFmtId="166" fontId="71" fillId="0" borderId="11" xfId="1" applyNumberFormat="1" applyFont="1" applyFill="1" applyBorder="1" applyAlignment="1">
      <alignment horizontal="center" vertical="center" wrapText="1"/>
    </xf>
    <xf numFmtId="165" fontId="17" fillId="0" borderId="11" xfId="1" applyNumberFormat="1" applyFont="1" applyFill="1" applyBorder="1" applyAlignment="1">
      <alignment horizontal="center" vertical="center" wrapText="1"/>
    </xf>
    <xf numFmtId="43" fontId="17" fillId="0" borderId="11" xfId="1" applyFont="1" applyFill="1" applyBorder="1" applyAlignment="1">
      <alignment horizontal="center" vertical="center" wrapText="1"/>
    </xf>
    <xf numFmtId="165" fontId="9" fillId="0" borderId="11" xfId="1" applyNumberFormat="1" applyFont="1" applyFill="1" applyBorder="1" applyAlignment="1">
      <alignment horizontal="center" vertical="center"/>
    </xf>
    <xf numFmtId="165" fontId="15" fillId="0" borderId="11" xfId="0" applyNumberFormat="1" applyFont="1" applyFill="1" applyBorder="1" applyAlignment="1">
      <alignment vertical="center"/>
    </xf>
    <xf numFmtId="165" fontId="12" fillId="0" borderId="11" xfId="0" applyNumberFormat="1" applyFont="1" applyFill="1" applyBorder="1"/>
    <xf numFmtId="2" fontId="20" fillId="0" borderId="11" xfId="0" applyNumberFormat="1" applyFont="1" applyFill="1" applyBorder="1" applyAlignment="1">
      <alignment horizontal="center"/>
    </xf>
    <xf numFmtId="43" fontId="12" fillId="0" borderId="11" xfId="1" applyFont="1" applyFill="1" applyBorder="1" applyAlignment="1">
      <alignment horizontal="center" vertical="center"/>
    </xf>
    <xf numFmtId="165" fontId="16" fillId="0" borderId="11" xfId="1" applyNumberFormat="1" applyFont="1" applyFill="1" applyBorder="1" applyAlignment="1">
      <alignment horizontal="center" vertical="center"/>
    </xf>
    <xf numFmtId="165" fontId="10" fillId="0" borderId="11" xfId="1" applyNumberFormat="1" applyFont="1" applyFill="1" applyBorder="1" applyAlignment="1">
      <alignment horizontal="center" vertical="center" wrapText="1"/>
    </xf>
    <xf numFmtId="43" fontId="19" fillId="0" borderId="11" xfId="1" applyFont="1" applyFill="1" applyBorder="1" applyAlignment="1">
      <alignment horizontal="center" vertical="top" wrapText="1"/>
    </xf>
    <xf numFmtId="165" fontId="19" fillId="0" borderId="11" xfId="1" applyNumberFormat="1" applyFont="1" applyFill="1" applyBorder="1" applyAlignment="1">
      <alignment vertical="center" wrapText="1"/>
    </xf>
    <xf numFmtId="43" fontId="15" fillId="0" borderId="11" xfId="1" applyFont="1" applyFill="1" applyBorder="1" applyAlignment="1">
      <alignment vertical="center"/>
    </xf>
    <xf numFmtId="43" fontId="21" fillId="0" borderId="11" xfId="1" applyFont="1" applyFill="1" applyBorder="1" applyAlignment="1">
      <alignment horizontal="center" vertical="center"/>
    </xf>
    <xf numFmtId="165" fontId="21" fillId="0" borderId="11" xfId="1" applyNumberFormat="1" applyFont="1" applyFill="1" applyBorder="1" applyAlignment="1">
      <alignment vertical="center"/>
    </xf>
    <xf numFmtId="165" fontId="21" fillId="0" borderId="11" xfId="0" applyNumberFormat="1" applyFont="1" applyFill="1" applyBorder="1" applyAlignment="1">
      <alignment horizontal="center" vertical="center"/>
    </xf>
    <xf numFmtId="43" fontId="21" fillId="0" borderId="11" xfId="1" applyFont="1" applyFill="1" applyBorder="1" applyAlignment="1">
      <alignment vertical="center"/>
    </xf>
    <xf numFmtId="165" fontId="15" fillId="0" borderId="11" xfId="0" applyNumberFormat="1" applyFont="1" applyFill="1" applyBorder="1" applyAlignment="1">
      <alignment horizontal="center" vertical="center"/>
    </xf>
    <xf numFmtId="165" fontId="15" fillId="0" borderId="11" xfId="1" applyNumberFormat="1" applyFont="1" applyFill="1" applyBorder="1" applyAlignment="1">
      <alignment horizontal="center" vertical="center"/>
    </xf>
    <xf numFmtId="165" fontId="20" fillId="0" borderId="11" xfId="0" applyNumberFormat="1" applyFont="1" applyFill="1" applyBorder="1" applyAlignment="1">
      <alignment vertical="center"/>
    </xf>
    <xf numFmtId="0" fontId="20" fillId="8" borderId="11" xfId="0" applyFont="1" applyFill="1" applyBorder="1"/>
    <xf numFmtId="0" fontId="63" fillId="0" borderId="32" xfId="0" applyFont="1" applyBorder="1"/>
    <xf numFmtId="0" fontId="11" fillId="0" borderId="33" xfId="0" applyFont="1" applyFill="1" applyBorder="1" applyAlignment="1">
      <alignment horizontal="center" vertical="center"/>
    </xf>
    <xf numFmtId="1" fontId="15" fillId="11" borderId="33" xfId="0" applyNumberFormat="1" applyFont="1" applyFill="1" applyBorder="1" applyAlignment="1">
      <alignment horizontal="center" vertical="center"/>
    </xf>
    <xf numFmtId="164" fontId="22" fillId="11" borderId="32" xfId="0" applyNumberFormat="1" applyFont="1" applyFill="1" applyBorder="1" applyAlignment="1">
      <alignment horizontal="center" vertical="center" wrapText="1"/>
    </xf>
    <xf numFmtId="0" fontId="33" fillId="0" borderId="33" xfId="0" applyFont="1" applyFill="1" applyBorder="1" applyAlignment="1">
      <alignment horizontal="center" vertical="center"/>
    </xf>
    <xf numFmtId="1" fontId="8" fillId="9" borderId="33" xfId="0" applyNumberFormat="1" applyFont="1" applyFill="1" applyBorder="1" applyAlignment="1">
      <alignment vertical="center"/>
    </xf>
    <xf numFmtId="1" fontId="20" fillId="0" borderId="33" xfId="0" applyNumberFormat="1" applyFont="1" applyFill="1" applyBorder="1" applyAlignment="1">
      <alignment horizontal="center" vertical="center"/>
    </xf>
    <xf numFmtId="0" fontId="27" fillId="9" borderId="35" xfId="0" applyFont="1" applyFill="1" applyBorder="1" applyAlignment="1">
      <alignment horizontal="center" vertical="center" wrapText="1"/>
    </xf>
    <xf numFmtId="168" fontId="27" fillId="9" borderId="35" xfId="1" applyNumberFormat="1" applyFont="1" applyFill="1" applyBorder="1" applyAlignment="1">
      <alignment horizontal="center" vertical="center" wrapText="1"/>
    </xf>
    <xf numFmtId="164" fontId="27" fillId="9" borderId="35" xfId="0" applyNumberFormat="1" applyFont="1" applyFill="1" applyBorder="1" applyAlignment="1">
      <alignment horizontal="center" vertical="center" wrapText="1"/>
    </xf>
    <xf numFmtId="165" fontId="27" fillId="9" borderId="35" xfId="0" applyNumberFormat="1" applyFont="1" applyFill="1" applyBorder="1" applyAlignment="1">
      <alignment horizontal="center" vertical="center" wrapText="1"/>
    </xf>
    <xf numFmtId="2" fontId="27" fillId="9" borderId="35" xfId="0" applyNumberFormat="1" applyFont="1" applyFill="1" applyBorder="1" applyAlignment="1">
      <alignment horizontal="center" vertical="center" wrapText="1"/>
    </xf>
    <xf numFmtId="43" fontId="27" fillId="9" borderId="35" xfId="1" applyFont="1" applyFill="1" applyBorder="1" applyAlignment="1">
      <alignment horizontal="center" vertical="center" wrapText="1"/>
    </xf>
    <xf numFmtId="0" fontId="63" fillId="0" borderId="56" xfId="0" applyFont="1" applyBorder="1"/>
    <xf numFmtId="43" fontId="4" fillId="0" borderId="11" xfId="1" applyFont="1" applyFill="1" applyBorder="1" applyAlignment="1">
      <alignment horizontal="center" vertical="center" wrapText="1"/>
    </xf>
    <xf numFmtId="164" fontId="20" fillId="0" borderId="11" xfId="0" applyNumberFormat="1" applyFont="1" applyFill="1" applyBorder="1"/>
    <xf numFmtId="166" fontId="20" fillId="0" borderId="11" xfId="1" applyNumberFormat="1" applyFont="1" applyFill="1" applyBorder="1"/>
    <xf numFmtId="168" fontId="10" fillId="0" borderId="11" xfId="1" applyNumberFormat="1" applyFont="1" applyFill="1" applyBorder="1" applyAlignment="1">
      <alignment horizontal="center" vertical="center" wrapText="1"/>
    </xf>
    <xf numFmtId="3" fontId="16" fillId="0" borderId="11" xfId="0" applyNumberFormat="1" applyFont="1" applyFill="1" applyBorder="1" applyAlignment="1">
      <alignment horizontal="center" vertical="center" wrapText="1"/>
    </xf>
    <xf numFmtId="164" fontId="11" fillId="0" borderId="11" xfId="1" applyNumberFormat="1" applyFont="1" applyFill="1" applyBorder="1" applyAlignment="1">
      <alignment vertical="center"/>
    </xf>
    <xf numFmtId="166" fontId="12" fillId="0" borderId="11" xfId="1" applyNumberFormat="1" applyFont="1" applyFill="1" applyBorder="1"/>
    <xf numFmtId="164" fontId="20" fillId="0" borderId="11" xfId="0" applyNumberFormat="1" applyFont="1" applyFill="1" applyBorder="1" applyAlignment="1">
      <alignment horizontal="center"/>
    </xf>
    <xf numFmtId="171" fontId="10" fillId="0" borderId="11" xfId="1" applyNumberFormat="1" applyFont="1" applyFill="1" applyBorder="1" applyAlignment="1">
      <alignment horizontal="center" vertical="center" wrapText="1"/>
    </xf>
    <xf numFmtId="4" fontId="10" fillId="0" borderId="11" xfId="0" applyNumberFormat="1" applyFont="1" applyFill="1" applyBorder="1" applyAlignment="1">
      <alignment horizontal="center" vertical="center" wrapText="1"/>
    </xf>
    <xf numFmtId="166" fontId="12" fillId="0" borderId="11" xfId="1" applyNumberFormat="1" applyFont="1" applyFill="1" applyBorder="1" applyAlignment="1">
      <alignment horizontal="center" vertical="center"/>
    </xf>
    <xf numFmtId="164" fontId="10" fillId="4" borderId="11" xfId="0" applyNumberFormat="1" applyFont="1" applyFill="1" applyBorder="1" applyAlignment="1">
      <alignment horizontal="center" vertical="center" wrapText="1"/>
    </xf>
    <xf numFmtId="168" fontId="10" fillId="4" borderId="11" xfId="1" applyNumberFormat="1" applyFont="1" applyFill="1" applyBorder="1" applyAlignment="1">
      <alignment horizontal="center" vertical="center" wrapText="1"/>
    </xf>
    <xf numFmtId="167" fontId="10" fillId="4" borderId="11" xfId="0" applyNumberFormat="1" applyFont="1" applyFill="1" applyBorder="1" applyAlignment="1">
      <alignment horizontal="center" vertical="center" wrapText="1"/>
    </xf>
    <xf numFmtId="43" fontId="10" fillId="4" borderId="11" xfId="1" applyFont="1" applyFill="1" applyBorder="1" applyAlignment="1">
      <alignment vertical="center" wrapText="1"/>
    </xf>
    <xf numFmtId="0" fontId="12" fillId="6" borderId="11" xfId="0" applyFont="1" applyFill="1" applyBorder="1"/>
    <xf numFmtId="166" fontId="15" fillId="6" borderId="11" xfId="1" applyNumberFormat="1" applyFont="1" applyFill="1" applyBorder="1" applyAlignment="1">
      <alignment horizontal="center" vertical="center"/>
    </xf>
    <xf numFmtId="0" fontId="11" fillId="7" borderId="11" xfId="0" applyFont="1" applyFill="1" applyBorder="1" applyAlignment="1">
      <alignment horizontal="center" vertical="center"/>
    </xf>
    <xf numFmtId="164" fontId="22" fillId="7" borderId="11" xfId="0" applyNumberFormat="1" applyFont="1" applyFill="1" applyBorder="1" applyAlignment="1">
      <alignment horizontal="center" vertical="center"/>
    </xf>
    <xf numFmtId="166" fontId="22" fillId="7" borderId="11" xfId="1" applyNumberFormat="1" applyFont="1" applyFill="1" applyBorder="1" applyAlignment="1">
      <alignment horizontal="center" vertical="center"/>
    </xf>
    <xf numFmtId="167" fontId="22" fillId="7" borderId="11" xfId="0" applyNumberFormat="1" applyFont="1" applyFill="1" applyBorder="1" applyAlignment="1">
      <alignment horizontal="center" vertical="center"/>
    </xf>
    <xf numFmtId="166" fontId="11" fillId="7" borderId="11" xfId="1" applyNumberFormat="1" applyFont="1" applyFill="1" applyBorder="1" applyAlignment="1">
      <alignment horizontal="center" vertical="center"/>
    </xf>
    <xf numFmtId="1" fontId="11" fillId="7" borderId="11" xfId="0" applyNumberFormat="1" applyFont="1" applyFill="1" applyBorder="1" applyAlignment="1">
      <alignment horizontal="center" vertical="center"/>
    </xf>
    <xf numFmtId="166" fontId="11" fillId="7" borderId="11" xfId="0" applyNumberFormat="1" applyFont="1" applyFill="1" applyBorder="1" applyAlignment="1">
      <alignment horizontal="center" vertical="center"/>
    </xf>
    <xf numFmtId="164" fontId="11" fillId="7" borderId="11" xfId="0" applyNumberFormat="1" applyFont="1" applyFill="1" applyBorder="1" applyAlignment="1">
      <alignment horizontal="center" vertical="center"/>
    </xf>
    <xf numFmtId="166" fontId="11" fillId="7" borderId="11" xfId="1" applyNumberFormat="1" applyFont="1" applyFill="1" applyBorder="1" applyAlignment="1">
      <alignment vertical="center"/>
    </xf>
    <xf numFmtId="166" fontId="11" fillId="8" borderId="11" xfId="1" applyNumberFormat="1" applyFont="1" applyFill="1" applyBorder="1" applyAlignment="1">
      <alignment vertical="center"/>
    </xf>
    <xf numFmtId="166" fontId="10" fillId="8" borderId="11" xfId="1" applyNumberFormat="1" applyFont="1" applyFill="1" applyBorder="1" applyAlignment="1">
      <alignment horizontal="center" vertical="center" wrapText="1"/>
    </xf>
    <xf numFmtId="164" fontId="12" fillId="8" borderId="11" xfId="0" applyNumberFormat="1" applyFont="1" applyFill="1" applyBorder="1"/>
    <xf numFmtId="43" fontId="12" fillId="8" borderId="11" xfId="1" applyFont="1" applyFill="1" applyBorder="1"/>
    <xf numFmtId="0" fontId="29" fillId="0" borderId="11" xfId="0" applyFont="1" applyBorder="1" applyAlignment="1">
      <alignment horizontal="center" vertical="center" wrapText="1"/>
    </xf>
    <xf numFmtId="166" fontId="10" fillId="0" borderId="11" xfId="0" applyNumberFormat="1" applyFont="1" applyBorder="1" applyAlignment="1">
      <alignment vertical="center" wrapText="1"/>
    </xf>
    <xf numFmtId="164" fontId="10" fillId="0" borderId="11" xfId="0" applyNumberFormat="1" applyFont="1" applyBorder="1" applyAlignment="1">
      <alignment vertical="center" wrapText="1"/>
    </xf>
    <xf numFmtId="176" fontId="10" fillId="0" borderId="11" xfId="0" applyNumberFormat="1" applyFont="1" applyBorder="1" applyAlignment="1">
      <alignment vertical="center" wrapText="1"/>
    </xf>
    <xf numFmtId="2" fontId="10" fillId="4" borderId="11" xfId="0" applyNumberFormat="1" applyFont="1" applyFill="1" applyBorder="1" applyAlignment="1">
      <alignment vertical="center" wrapText="1"/>
    </xf>
    <xf numFmtId="1" fontId="10" fillId="4" borderId="11" xfId="0" applyNumberFormat="1" applyFont="1" applyFill="1" applyBorder="1" applyAlignment="1">
      <alignment horizontal="center" vertical="center" wrapText="1"/>
    </xf>
    <xf numFmtId="166" fontId="10" fillId="4" borderId="11" xfId="0" applyNumberFormat="1" applyFont="1" applyFill="1" applyBorder="1" applyAlignment="1">
      <alignment vertical="center" wrapText="1"/>
    </xf>
    <xf numFmtId="164" fontId="10" fillId="4" borderId="11" xfId="0" applyNumberFormat="1" applyFont="1" applyFill="1" applyBorder="1" applyAlignment="1">
      <alignment vertical="center" wrapText="1"/>
    </xf>
    <xf numFmtId="2" fontId="12" fillId="8" borderId="11" xfId="0" applyNumberFormat="1" applyFont="1" applyFill="1" applyBorder="1"/>
    <xf numFmtId="166" fontId="10" fillId="8" borderId="11" xfId="0" applyNumberFormat="1" applyFont="1" applyFill="1" applyBorder="1" applyAlignment="1">
      <alignment vertical="center" wrapText="1"/>
    </xf>
    <xf numFmtId="2" fontId="10" fillId="8" borderId="11" xfId="1" applyNumberFormat="1" applyFont="1" applyFill="1" applyBorder="1" applyAlignment="1">
      <alignment vertical="center" wrapText="1"/>
    </xf>
    <xf numFmtId="166" fontId="11" fillId="9" borderId="11" xfId="0" applyNumberFormat="1" applyFont="1" applyFill="1" applyBorder="1" applyAlignment="1">
      <alignment horizontal="center" vertical="center" wrapText="1"/>
    </xf>
    <xf numFmtId="0" fontId="12" fillId="9" borderId="11" xfId="0" applyFont="1" applyFill="1" applyBorder="1"/>
    <xf numFmtId="2" fontId="14" fillId="0" borderId="42" xfId="0" applyNumberFormat="1" applyFont="1" applyFill="1" applyBorder="1" applyAlignment="1">
      <alignment horizontal="center" vertical="center" wrapText="1"/>
    </xf>
    <xf numFmtId="43" fontId="14" fillId="0" borderId="30" xfId="1" applyFont="1" applyFill="1" applyBorder="1" applyAlignment="1">
      <alignment horizontal="center" vertical="center" wrapText="1"/>
    </xf>
    <xf numFmtId="2" fontId="14" fillId="0" borderId="19" xfId="0" applyNumberFormat="1" applyFont="1" applyFill="1" applyBorder="1" applyAlignment="1">
      <alignment vertical="center" wrapText="1"/>
    </xf>
    <xf numFmtId="2" fontId="14" fillId="0" borderId="30" xfId="0" applyNumberFormat="1" applyFont="1" applyFill="1" applyBorder="1" applyAlignment="1">
      <alignment vertical="center" wrapText="1"/>
    </xf>
    <xf numFmtId="43" fontId="14" fillId="0" borderId="11" xfId="1" applyFont="1" applyFill="1" applyBorder="1" applyAlignment="1">
      <alignment vertical="center" wrapText="1"/>
    </xf>
    <xf numFmtId="0" fontId="35" fillId="7" borderId="11" xfId="0" applyFont="1" applyFill="1" applyBorder="1" applyAlignment="1">
      <alignment vertical="center"/>
    </xf>
    <xf numFmtId="0" fontId="8" fillId="7" borderId="11" xfId="0" applyFont="1" applyFill="1" applyBorder="1" applyAlignment="1">
      <alignment vertical="center"/>
    </xf>
    <xf numFmtId="0" fontId="10" fillId="11" borderId="11" xfId="0" applyFont="1" applyFill="1" applyBorder="1" applyAlignment="1">
      <alignment horizontal="center" vertical="center" wrapText="1"/>
    </xf>
    <xf numFmtId="2" fontId="47" fillId="16" borderId="11" xfId="0" applyNumberFormat="1" applyFont="1" applyFill="1" applyBorder="1" applyAlignment="1">
      <alignment horizontal="center" vertical="center"/>
    </xf>
    <xf numFmtId="10" fontId="41" fillId="16" borderId="11" xfId="0" applyNumberFormat="1" applyFont="1" applyFill="1" applyBorder="1" applyAlignment="1">
      <alignment horizontal="center" vertical="center"/>
    </xf>
    <xf numFmtId="2" fontId="41" fillId="16" borderId="11" xfId="0" applyNumberFormat="1" applyFont="1" applyFill="1" applyBorder="1" applyAlignment="1">
      <alignment horizontal="center" vertical="center"/>
    </xf>
    <xf numFmtId="0" fontId="3" fillId="0" borderId="11" xfId="4" applyFill="1" applyBorder="1" applyAlignment="1">
      <alignment horizontal="left" vertical="top" wrapText="1"/>
    </xf>
    <xf numFmtId="0" fontId="3" fillId="0" borderId="11" xfId="4" applyFont="1" applyFill="1" applyBorder="1" applyAlignment="1">
      <alignment horizontal="left" vertical="top" wrapText="1"/>
    </xf>
    <xf numFmtId="0" fontId="20" fillId="0" borderId="11" xfId="0" applyFont="1" applyFill="1" applyBorder="1" applyAlignment="1">
      <alignment horizontal="left" vertical="top"/>
    </xf>
    <xf numFmtId="0" fontId="41" fillId="0" borderId="11" xfId="0" applyFont="1" applyBorder="1" applyAlignment="1">
      <alignment horizontal="left" vertical="center" wrapText="1"/>
    </xf>
    <xf numFmtId="164" fontId="76" fillId="12" borderId="11" xfId="0" applyNumberFormat="1" applyFont="1" applyFill="1" applyBorder="1" applyAlignment="1">
      <alignment horizontal="center" vertical="center"/>
    </xf>
    <xf numFmtId="0" fontId="77" fillId="12" borderId="11" xfId="0" applyFont="1" applyFill="1" applyBorder="1" applyAlignment="1">
      <alignment vertical="center"/>
    </xf>
    <xf numFmtId="0" fontId="77" fillId="12" borderId="11" xfId="0" applyFont="1" applyFill="1" applyBorder="1" applyAlignment="1">
      <alignment vertical="center" wrapText="1"/>
    </xf>
    <xf numFmtId="166" fontId="76" fillId="12" borderId="35" xfId="1" applyNumberFormat="1" applyFont="1" applyFill="1" applyBorder="1" applyAlignment="1">
      <alignment vertical="center"/>
    </xf>
    <xf numFmtId="0" fontId="76" fillId="12" borderId="11" xfId="0" applyFont="1" applyFill="1" applyBorder="1" applyAlignment="1">
      <alignment vertical="center"/>
    </xf>
    <xf numFmtId="0" fontId="76" fillId="12" borderId="11" xfId="0" applyFont="1" applyFill="1" applyBorder="1" applyAlignment="1">
      <alignment vertical="center" wrapText="1"/>
    </xf>
    <xf numFmtId="166" fontId="76" fillId="12" borderId="11" xfId="1" applyNumberFormat="1" applyFont="1" applyFill="1" applyBorder="1" applyAlignment="1">
      <alignment vertical="center"/>
    </xf>
    <xf numFmtId="43" fontId="76" fillId="12" borderId="11" xfId="1" applyFont="1" applyFill="1" applyBorder="1" applyAlignment="1">
      <alignment horizontal="center" vertical="center"/>
    </xf>
    <xf numFmtId="0" fontId="44" fillId="0" borderId="32" xfId="0" applyFont="1" applyBorder="1" applyAlignment="1">
      <alignment vertical="center" wrapText="1"/>
    </xf>
    <xf numFmtId="43" fontId="9" fillId="0" borderId="11" xfId="1" applyFont="1" applyFill="1" applyBorder="1" applyAlignment="1">
      <alignment horizontal="center" vertical="center"/>
    </xf>
    <xf numFmtId="0" fontId="10" fillId="0" borderId="11" xfId="0" applyFont="1" applyFill="1" applyBorder="1" applyAlignment="1">
      <alignment horizontal="center" vertical="center" wrapText="1"/>
    </xf>
    <xf numFmtId="0" fontId="10" fillId="0" borderId="11" xfId="0" applyFont="1" applyFill="1" applyBorder="1" applyAlignment="1">
      <alignment vertical="center" wrapText="1"/>
    </xf>
    <xf numFmtId="164" fontId="10" fillId="0" borderId="11" xfId="0" applyNumberFormat="1" applyFont="1" applyFill="1" applyBorder="1" applyAlignment="1">
      <alignment horizontal="center" vertical="center" wrapText="1"/>
    </xf>
    <xf numFmtId="0" fontId="16" fillId="0" borderId="11" xfId="0" applyFont="1" applyFill="1" applyBorder="1" applyAlignment="1">
      <alignment horizontal="center" vertical="center" wrapText="1"/>
    </xf>
    <xf numFmtId="164" fontId="16" fillId="0" borderId="11" xfId="0" applyNumberFormat="1" applyFont="1" applyFill="1" applyBorder="1" applyAlignment="1">
      <alignment horizontal="center" vertical="center" wrapText="1"/>
    </xf>
    <xf numFmtId="0" fontId="12" fillId="0" borderId="11" xfId="0" applyFont="1" applyFill="1" applyBorder="1" applyAlignment="1">
      <alignment horizontal="center" vertical="center"/>
    </xf>
    <xf numFmtId="166" fontId="12" fillId="0" borderId="11" xfId="0" applyNumberFormat="1" applyFont="1" applyFill="1" applyBorder="1" applyAlignment="1">
      <alignment horizontal="center" vertical="center"/>
    </xf>
    <xf numFmtId="43" fontId="9" fillId="0" borderId="11" xfId="1" applyFont="1" applyFill="1" applyBorder="1" applyAlignment="1">
      <alignment vertical="center" wrapText="1"/>
    </xf>
    <xf numFmtId="0" fontId="10" fillId="0" borderId="33" xfId="0" applyFont="1" applyFill="1" applyBorder="1" applyAlignment="1">
      <alignment horizontal="center" vertical="center" wrapText="1"/>
    </xf>
    <xf numFmtId="166" fontId="10" fillId="0" borderId="32" xfId="1" applyNumberFormat="1" applyFont="1" applyFill="1" applyBorder="1" applyAlignment="1">
      <alignment horizontal="center" vertical="center" wrapText="1"/>
    </xf>
    <xf numFmtId="165" fontId="15" fillId="6" borderId="11" xfId="1" applyNumberFormat="1" applyFont="1" applyFill="1" applyBorder="1" applyAlignment="1">
      <alignment horizontal="center" vertical="center"/>
    </xf>
    <xf numFmtId="0" fontId="0" fillId="0" borderId="11" xfId="0" applyBorder="1"/>
    <xf numFmtId="166" fontId="10" fillId="0" borderId="11" xfId="1" applyNumberFormat="1" applyFont="1" applyFill="1" applyBorder="1" applyAlignment="1">
      <alignment horizontal="center" vertical="center" wrapText="1"/>
    </xf>
    <xf numFmtId="166" fontId="16" fillId="0" borderId="11" xfId="1" applyNumberFormat="1" applyFont="1" applyFill="1" applyBorder="1" applyAlignment="1">
      <alignment horizontal="center" vertical="center" wrapText="1"/>
    </xf>
    <xf numFmtId="166" fontId="10" fillId="0" borderId="11" xfId="1" applyNumberFormat="1" applyFont="1" applyFill="1" applyBorder="1" applyAlignment="1">
      <alignment vertical="center" wrapText="1"/>
    </xf>
    <xf numFmtId="164" fontId="22" fillId="6" borderId="11" xfId="0" applyNumberFormat="1" applyFont="1" applyFill="1" applyBorder="1" applyAlignment="1">
      <alignment horizontal="left" vertical="center" wrapText="1"/>
    </xf>
    <xf numFmtId="0" fontId="50" fillId="0" borderId="23" xfId="0" applyFont="1" applyFill="1" applyBorder="1" applyAlignment="1">
      <alignment horizontal="center" vertical="center" wrapText="1"/>
    </xf>
    <xf numFmtId="0" fontId="50" fillId="0" borderId="25" xfId="0" applyFont="1" applyFill="1" applyBorder="1" applyAlignment="1">
      <alignment horizontal="center" vertical="center" wrapText="1"/>
    </xf>
    <xf numFmtId="0" fontId="50" fillId="0" borderId="11" xfId="0" applyFont="1" applyFill="1" applyBorder="1" applyAlignment="1">
      <alignment horizontal="center" vertical="center" wrapText="1"/>
    </xf>
    <xf numFmtId="49" fontId="50" fillId="0" borderId="25" xfId="0" applyNumberFormat="1" applyFont="1" applyFill="1" applyBorder="1" applyAlignment="1">
      <alignment horizontal="center" vertical="center" wrapText="1"/>
    </xf>
    <xf numFmtId="0" fontId="50" fillId="0" borderId="11" xfId="0" applyFont="1" applyFill="1" applyBorder="1" applyAlignment="1">
      <alignment horizontal="left" vertical="center" wrapText="1"/>
    </xf>
    <xf numFmtId="49" fontId="50" fillId="0" borderId="11" xfId="0" applyNumberFormat="1" applyFont="1" applyFill="1" applyBorder="1" applyAlignment="1">
      <alignment horizontal="center" vertical="center" wrapText="1"/>
    </xf>
    <xf numFmtId="0" fontId="52" fillId="0" borderId="7" xfId="0" applyFont="1" applyFill="1" applyBorder="1" applyAlignment="1">
      <alignment horizontal="left" vertical="center" wrapText="1"/>
    </xf>
    <xf numFmtId="0" fontId="51" fillId="0" borderId="23" xfId="0" applyFont="1" applyFill="1" applyBorder="1" applyAlignment="1">
      <alignment horizontal="center" vertical="center"/>
    </xf>
    <xf numFmtId="0" fontId="79" fillId="0" borderId="23" xfId="0" applyFont="1" applyFill="1" applyBorder="1" applyAlignment="1">
      <alignment horizontal="left" vertical="center" wrapText="1"/>
    </xf>
    <xf numFmtId="49" fontId="51" fillId="0" borderId="11" xfId="0" applyNumberFormat="1" applyFont="1" applyFill="1" applyBorder="1" applyAlignment="1">
      <alignment horizontal="center" vertical="center" wrapText="1"/>
    </xf>
    <xf numFmtId="2" fontId="50" fillId="0" borderId="11" xfId="0" applyNumberFormat="1" applyFont="1" applyFill="1" applyBorder="1" applyAlignment="1">
      <alignment horizontal="center" vertical="center" wrapText="1"/>
    </xf>
    <xf numFmtId="0" fontId="74" fillId="0" borderId="22" xfId="0" applyFont="1" applyFill="1" applyBorder="1" applyAlignment="1">
      <alignment horizontal="center" vertical="center" wrapText="1"/>
    </xf>
    <xf numFmtId="0" fontId="80" fillId="0" borderId="23" xfId="0" applyFont="1" applyFill="1" applyBorder="1" applyAlignment="1">
      <alignment horizontal="center" vertical="center"/>
    </xf>
    <xf numFmtId="0" fontId="69" fillId="0" borderId="23" xfId="0" applyFont="1" applyFill="1" applyBorder="1" applyAlignment="1">
      <alignment horizontal="center" vertical="center" wrapText="1"/>
    </xf>
    <xf numFmtId="0" fontId="69" fillId="0" borderId="11" xfId="0" applyFont="1" applyFill="1" applyBorder="1" applyAlignment="1">
      <alignment horizontal="left" vertical="center" wrapText="1"/>
    </xf>
    <xf numFmtId="0" fontId="69" fillId="0" borderId="11" xfId="0" applyFont="1" applyFill="1" applyBorder="1" applyAlignment="1">
      <alignment horizontal="center" vertical="center" wrapText="1"/>
    </xf>
    <xf numFmtId="0" fontId="80" fillId="0" borderId="11" xfId="0" applyFont="1" applyFill="1" applyBorder="1" applyAlignment="1">
      <alignment horizontal="center" vertical="center"/>
    </xf>
    <xf numFmtId="49" fontId="80" fillId="0" borderId="11" xfId="0" applyNumberFormat="1" applyFont="1" applyFill="1" applyBorder="1" applyAlignment="1">
      <alignment horizontal="center" vertical="center" wrapText="1"/>
    </xf>
    <xf numFmtId="2" fontId="69" fillId="0" borderId="11" xfId="0" applyNumberFormat="1" applyFont="1" applyFill="1" applyBorder="1" applyAlignment="1">
      <alignment horizontal="center" vertical="center" wrapText="1"/>
    </xf>
    <xf numFmtId="2" fontId="74" fillId="0" borderId="11" xfId="0" applyNumberFormat="1" applyFont="1" applyFill="1" applyBorder="1" applyAlignment="1">
      <alignment horizontal="center" vertical="center" wrapText="1"/>
    </xf>
    <xf numFmtId="0" fontId="74" fillId="0" borderId="11" xfId="0" applyFont="1" applyFill="1" applyBorder="1" applyAlignment="1">
      <alignment horizontal="center" vertical="center" wrapText="1"/>
    </xf>
    <xf numFmtId="0" fontId="79" fillId="0" borderId="25" xfId="0" applyFont="1" applyFill="1" applyBorder="1" applyAlignment="1">
      <alignment horizontal="center" vertical="center" wrapText="1"/>
    </xf>
    <xf numFmtId="0" fontId="79" fillId="0" borderId="19" xfId="0" applyFont="1" applyFill="1" applyBorder="1" applyAlignment="1">
      <alignment horizontal="center" vertical="center" wrapText="1"/>
    </xf>
    <xf numFmtId="49" fontId="69" fillId="0" borderId="11" xfId="0" applyNumberFormat="1" applyFont="1" applyFill="1" applyBorder="1" applyAlignment="1">
      <alignment horizontal="center" vertical="center" wrapText="1"/>
    </xf>
    <xf numFmtId="0" fontId="80" fillId="0" borderId="11" xfId="0" applyNumberFormat="1" applyFont="1" applyFill="1" applyBorder="1" applyAlignment="1" applyProtection="1">
      <alignment horizontal="left" vertical="center" wrapText="1"/>
      <protection locked="0"/>
    </xf>
    <xf numFmtId="0" fontId="80" fillId="11" borderId="11" xfId="0" applyFont="1" applyFill="1" applyBorder="1" applyAlignment="1">
      <alignment vertical="center"/>
    </xf>
    <xf numFmtId="0" fontId="80" fillId="11" borderId="11" xfId="0" applyFont="1" applyFill="1" applyBorder="1" applyAlignment="1">
      <alignment horizontal="center" vertical="center"/>
    </xf>
    <xf numFmtId="0" fontId="51" fillId="0" borderId="11" xfId="0" applyFont="1" applyFill="1" applyBorder="1" applyAlignment="1">
      <alignment horizontal="center" vertical="center"/>
    </xf>
    <xf numFmtId="1" fontId="51" fillId="0" borderId="11" xfId="0" applyNumberFormat="1" applyFont="1" applyFill="1" applyBorder="1" applyAlignment="1">
      <alignment horizontal="center" vertical="center"/>
    </xf>
    <xf numFmtId="1" fontId="51" fillId="0" borderId="23" xfId="0" applyNumberFormat="1" applyFont="1" applyFill="1" applyBorder="1" applyAlignment="1">
      <alignment horizontal="center" vertical="center"/>
    </xf>
    <xf numFmtId="0" fontId="50" fillId="0" borderId="11" xfId="0" applyFont="1" applyFill="1" applyBorder="1" applyAlignment="1">
      <alignment vertical="center" wrapText="1"/>
    </xf>
    <xf numFmtId="0" fontId="51" fillId="0" borderId="25" xfId="0" applyFont="1" applyFill="1" applyBorder="1" applyAlignment="1">
      <alignment horizontal="center" vertical="center"/>
    </xf>
    <xf numFmtId="2" fontId="50" fillId="0" borderId="25" xfId="0" applyNumberFormat="1" applyFont="1" applyFill="1" applyBorder="1" applyAlignment="1">
      <alignment horizontal="center" vertical="center" wrapText="1"/>
    </xf>
    <xf numFmtId="0" fontId="50" fillId="0" borderId="25" xfId="0" applyFont="1" applyFill="1" applyBorder="1" applyAlignment="1">
      <alignment horizontal="left" vertical="center" wrapText="1"/>
    </xf>
    <xf numFmtId="0" fontId="32" fillId="0" borderId="11" xfId="0" applyFont="1" applyFill="1" applyBorder="1" applyAlignment="1">
      <alignment horizontal="center" vertical="center"/>
    </xf>
    <xf numFmtId="0" fontId="52" fillId="0" borderId="11" xfId="0" applyFont="1" applyFill="1" applyBorder="1" applyAlignment="1">
      <alignment horizontal="center" vertical="center"/>
    </xf>
    <xf numFmtId="0" fontId="49" fillId="0" borderId="11" xfId="0" applyFont="1" applyFill="1" applyBorder="1" applyAlignment="1">
      <alignment horizontal="left" vertical="center" wrapText="1"/>
    </xf>
    <xf numFmtId="0" fontId="58" fillId="0" borderId="11" xfId="0" applyFont="1" applyFill="1" applyBorder="1" applyAlignment="1">
      <alignment horizontal="left" vertical="center" wrapText="1"/>
    </xf>
    <xf numFmtId="49" fontId="55" fillId="0" borderId="11" xfId="0" applyNumberFormat="1" applyFont="1" applyFill="1" applyBorder="1" applyAlignment="1">
      <alignment horizontal="center" vertical="center" wrapText="1"/>
    </xf>
    <xf numFmtId="2" fontId="55" fillId="0" borderId="11" xfId="0" applyNumberFormat="1" applyFont="1" applyFill="1" applyBorder="1" applyAlignment="1">
      <alignment horizontal="center" vertical="center" wrapText="1"/>
    </xf>
    <xf numFmtId="0" fontId="55" fillId="11" borderId="11" xfId="0" applyFont="1" applyFill="1" applyBorder="1" applyAlignment="1">
      <alignment horizontal="center" vertical="center" wrapText="1"/>
    </xf>
    <xf numFmtId="0" fontId="55" fillId="11" borderId="11" xfId="0" applyFont="1" applyFill="1" applyBorder="1" applyAlignment="1">
      <alignment horizontal="left" vertical="center" wrapText="1"/>
    </xf>
    <xf numFmtId="49" fontId="55" fillId="11" borderId="11" xfId="0" applyNumberFormat="1" applyFont="1" applyFill="1" applyBorder="1" applyAlignment="1">
      <alignment horizontal="center" vertical="center" wrapText="1"/>
    </xf>
    <xf numFmtId="2" fontId="55" fillId="11" borderId="11" xfId="0" applyNumberFormat="1" applyFont="1" applyFill="1" applyBorder="1" applyAlignment="1">
      <alignment horizontal="center" vertical="center" wrapText="1"/>
    </xf>
    <xf numFmtId="0" fontId="53" fillId="0" borderId="11" xfId="0" applyFont="1" applyFill="1" applyBorder="1" applyAlignment="1">
      <alignment horizontal="center" vertical="center" wrapText="1"/>
    </xf>
    <xf numFmtId="0" fontId="53" fillId="0" borderId="11" xfId="0" applyFont="1" applyFill="1" applyBorder="1" applyAlignment="1">
      <alignment horizontal="left" vertical="center" wrapText="1"/>
    </xf>
    <xf numFmtId="49" fontId="53" fillId="0" borderId="11" xfId="0" applyNumberFormat="1" applyFont="1" applyFill="1" applyBorder="1" applyAlignment="1">
      <alignment horizontal="center" vertical="center" wrapText="1"/>
    </xf>
    <xf numFmtId="2" fontId="53" fillId="0" borderId="11" xfId="0" applyNumberFormat="1" applyFont="1" applyFill="1" applyBorder="1" applyAlignment="1">
      <alignment horizontal="center" vertical="center"/>
    </xf>
    <xf numFmtId="0" fontId="56" fillId="0" borderId="11" xfId="0" applyFont="1" applyFill="1" applyBorder="1" applyAlignment="1">
      <alignment horizontal="center" vertical="center"/>
    </xf>
    <xf numFmtId="0" fontId="56" fillId="0" borderId="11" xfId="0" applyFont="1" applyFill="1" applyBorder="1" applyAlignment="1">
      <alignment horizontal="left" vertical="center"/>
    </xf>
    <xf numFmtId="49" fontId="56" fillId="0" borderId="11" xfId="0" applyNumberFormat="1" applyFont="1" applyFill="1" applyBorder="1" applyAlignment="1">
      <alignment horizontal="center" vertical="center"/>
    </xf>
    <xf numFmtId="2" fontId="56" fillId="0" borderId="11" xfId="0" applyNumberFormat="1" applyFont="1" applyFill="1" applyBorder="1" applyAlignment="1">
      <alignment horizontal="center" vertical="center"/>
    </xf>
    <xf numFmtId="0" fontId="58" fillId="11" borderId="11" xfId="0" applyFont="1" applyFill="1" applyBorder="1" applyAlignment="1">
      <alignment horizontal="center" vertical="center" wrapText="1"/>
    </xf>
    <xf numFmtId="0" fontId="58" fillId="11" borderId="11" xfId="0" applyFont="1" applyFill="1" applyBorder="1" applyAlignment="1">
      <alignment horizontal="left" vertical="center" wrapText="1"/>
    </xf>
    <xf numFmtId="49" fontId="58" fillId="11" borderId="11" xfId="0" applyNumberFormat="1" applyFont="1" applyFill="1" applyBorder="1" applyAlignment="1">
      <alignment horizontal="center" vertical="center" wrapText="1"/>
    </xf>
    <xf numFmtId="2" fontId="58" fillId="11" borderId="11" xfId="0" applyNumberFormat="1" applyFont="1" applyFill="1" applyBorder="1" applyAlignment="1">
      <alignment horizontal="center" vertical="center" wrapText="1"/>
    </xf>
    <xf numFmtId="49" fontId="50" fillId="0" borderId="11" xfId="0" applyNumberFormat="1" applyFont="1" applyFill="1" applyBorder="1" applyAlignment="1">
      <alignment vertical="center" wrapText="1"/>
    </xf>
    <xf numFmtId="2" fontId="50" fillId="0" borderId="11" xfId="0" applyNumberFormat="1" applyFont="1" applyFill="1" applyBorder="1" applyAlignment="1">
      <alignment horizontal="center" vertical="center"/>
    </xf>
    <xf numFmtId="0" fontId="51" fillId="0" borderId="23" xfId="0" applyFont="1" applyFill="1" applyBorder="1" applyAlignment="1">
      <alignment vertical="top" wrapText="1"/>
    </xf>
    <xf numFmtId="2" fontId="49" fillId="0" borderId="23" xfId="2" applyNumberFormat="1" applyFont="1" applyFill="1" applyBorder="1" applyAlignment="1">
      <alignment horizontal="center" vertical="center"/>
    </xf>
    <xf numFmtId="0" fontId="51" fillId="0" borderId="11" xfId="0" applyFont="1" applyFill="1" applyBorder="1" applyAlignment="1">
      <alignment vertical="top" wrapText="1"/>
    </xf>
    <xf numFmtId="2" fontId="49" fillId="0" borderId="25" xfId="2" applyNumberFormat="1" applyFont="1" applyFill="1" applyBorder="1" applyAlignment="1">
      <alignment horizontal="center" vertical="center"/>
    </xf>
    <xf numFmtId="0" fontId="51" fillId="0" borderId="19" xfId="0" applyFont="1" applyFill="1" applyBorder="1" applyAlignment="1">
      <alignment vertical="top" wrapText="1"/>
    </xf>
    <xf numFmtId="2" fontId="49" fillId="0" borderId="11" xfId="7" applyNumberFormat="1" applyFont="1" applyFill="1" applyBorder="1" applyAlignment="1">
      <alignment horizontal="center" vertical="center"/>
    </xf>
    <xf numFmtId="0" fontId="35" fillId="0" borderId="11" xfId="7" applyFont="1" applyFill="1" applyBorder="1" applyAlignment="1">
      <alignment vertical="center" wrapText="1"/>
    </xf>
    <xf numFmtId="0" fontId="35" fillId="0" borderId="11" xfId="7" applyFont="1" applyFill="1" applyBorder="1" applyAlignment="1">
      <alignment horizontal="center" vertical="center" wrapText="1"/>
    </xf>
    <xf numFmtId="0" fontId="62" fillId="0" borderId="11" xfId="0" applyFont="1" applyFill="1" applyBorder="1" applyAlignment="1">
      <alignment horizontal="left" vertical="center" wrapText="1"/>
    </xf>
    <xf numFmtId="2" fontId="71" fillId="0" borderId="11" xfId="7" applyNumberFormat="1" applyFont="1" applyFill="1" applyBorder="1" applyAlignment="1">
      <alignment horizontal="center" vertical="center"/>
    </xf>
    <xf numFmtId="0" fontId="28" fillId="0" borderId="11" xfId="7" applyFont="1" applyFill="1" applyBorder="1" applyAlignment="1">
      <alignment horizontal="center" vertical="center" wrapText="1"/>
    </xf>
    <xf numFmtId="0" fontId="28" fillId="0" borderId="11" xfId="7" applyFont="1" applyFill="1" applyBorder="1" applyAlignment="1">
      <alignment vertical="center" wrapText="1"/>
    </xf>
    <xf numFmtId="0" fontId="49" fillId="0" borderId="11" xfId="7" applyFont="1" applyFill="1" applyBorder="1" applyAlignment="1">
      <alignment horizontal="center" vertical="center" wrapText="1"/>
    </xf>
    <xf numFmtId="0" fontId="49" fillId="0" borderId="11" xfId="7" applyFont="1" applyFill="1" applyBorder="1" applyAlignment="1">
      <alignment vertical="center" wrapText="1"/>
    </xf>
    <xf numFmtId="2" fontId="49" fillId="0" borderId="11" xfId="2" applyNumberFormat="1" applyFont="1" applyFill="1" applyBorder="1" applyAlignment="1">
      <alignment horizontal="center" vertical="center"/>
    </xf>
    <xf numFmtId="0" fontId="52" fillId="0" borderId="11" xfId="0" applyFont="1" applyFill="1" applyBorder="1" applyAlignment="1">
      <alignment vertical="top" wrapText="1"/>
    </xf>
    <xf numFmtId="0" fontId="51" fillId="0" borderId="25" xfId="0" applyFont="1" applyFill="1" applyBorder="1" applyAlignment="1">
      <alignment horizontal="center" vertical="center" wrapText="1"/>
    </xf>
    <xf numFmtId="0" fontId="53" fillId="0" borderId="11" xfId="0" applyFont="1" applyFill="1" applyBorder="1" applyAlignment="1">
      <alignment vertical="center" wrapText="1"/>
    </xf>
    <xf numFmtId="2" fontId="49" fillId="0" borderId="23" xfId="2" applyNumberFormat="1" applyFont="1" applyFill="1" applyBorder="1" applyAlignment="1">
      <alignment vertical="center"/>
    </xf>
    <xf numFmtId="2" fontId="49" fillId="0" borderId="7" xfId="2" applyNumberFormat="1" applyFont="1" applyFill="1" applyBorder="1" applyAlignment="1">
      <alignment vertical="center"/>
    </xf>
    <xf numFmtId="0" fontId="32" fillId="4" borderId="11" xfId="0" applyFont="1" applyFill="1" applyBorder="1" applyAlignment="1">
      <alignment horizontal="center" vertical="center" wrapText="1"/>
    </xf>
    <xf numFmtId="0" fontId="52" fillId="4" borderId="11" xfId="0" applyFont="1" applyFill="1" applyBorder="1" applyAlignment="1">
      <alignment horizontal="center" vertical="center" wrapText="1"/>
    </xf>
    <xf numFmtId="0" fontId="50" fillId="4" borderId="11" xfId="0" applyFont="1" applyFill="1" applyBorder="1" applyAlignment="1">
      <alignment horizontal="center" vertical="center" wrapText="1"/>
    </xf>
    <xf numFmtId="0" fontId="50" fillId="4" borderId="11" xfId="0" applyFont="1" applyFill="1" applyBorder="1" applyAlignment="1">
      <alignment horizontal="left" vertical="center" wrapText="1"/>
    </xf>
    <xf numFmtId="49" fontId="50" fillId="4" borderId="11" xfId="0" applyNumberFormat="1" applyFont="1" applyFill="1" applyBorder="1" applyAlignment="1">
      <alignment horizontal="center" vertical="center" wrapText="1"/>
    </xf>
    <xf numFmtId="0" fontId="52" fillId="4" borderId="11" xfId="0" applyFont="1" applyFill="1" applyBorder="1" applyAlignment="1">
      <alignment horizontal="left" vertical="center" wrapText="1"/>
    </xf>
    <xf numFmtId="2" fontId="50" fillId="4" borderId="11" xfId="0" applyNumberFormat="1" applyFont="1" applyFill="1" applyBorder="1" applyAlignment="1">
      <alignment horizontal="center" vertical="center" wrapText="1"/>
    </xf>
    <xf numFmtId="0" fontId="80" fillId="0" borderId="23" xfId="0" applyFont="1" applyFill="1" applyBorder="1" applyAlignment="1">
      <alignment horizontal="left" vertical="center" wrapText="1"/>
    </xf>
    <xf numFmtId="0" fontId="80" fillId="0" borderId="11" xfId="0" applyFont="1" applyFill="1" applyBorder="1" applyAlignment="1">
      <alignment horizontal="left" vertical="center" wrapText="1"/>
    </xf>
    <xf numFmtId="0" fontId="62" fillId="0" borderId="23" xfId="0" applyNumberFormat="1" applyFont="1" applyFill="1" applyBorder="1" applyAlignment="1" applyProtection="1">
      <alignment horizontal="left" vertical="center" wrapText="1"/>
      <protection locked="0"/>
    </xf>
    <xf numFmtId="0" fontId="69" fillId="0" borderId="23" xfId="0" applyFont="1" applyFill="1" applyBorder="1" applyAlignment="1">
      <alignment horizontal="left" vertical="center" wrapText="1"/>
    </xf>
    <xf numFmtId="49" fontId="69" fillId="0" borderId="23" xfId="0" applyNumberFormat="1" applyFont="1" applyFill="1" applyBorder="1" applyAlignment="1">
      <alignment horizontal="center" vertical="center" wrapText="1"/>
    </xf>
    <xf numFmtId="0" fontId="80" fillId="0" borderId="7" xfId="0" applyFont="1" applyFill="1" applyBorder="1" applyAlignment="1">
      <alignment horizontal="left" vertical="center" wrapText="1"/>
    </xf>
    <xf numFmtId="49" fontId="80" fillId="0" borderId="23" xfId="0" applyNumberFormat="1" applyFont="1" applyFill="1" applyBorder="1" applyAlignment="1">
      <alignment horizontal="center" vertical="center" wrapText="1"/>
    </xf>
    <xf numFmtId="2" fontId="69" fillId="0" borderId="23" xfId="0" applyNumberFormat="1" applyFont="1" applyFill="1" applyBorder="1" applyAlignment="1">
      <alignment horizontal="center" vertical="center" wrapText="1"/>
    </xf>
    <xf numFmtId="0" fontId="69" fillId="11" borderId="11" xfId="0" applyFont="1" applyFill="1" applyBorder="1" applyAlignment="1">
      <alignment horizontal="center" vertical="center" wrapText="1"/>
    </xf>
    <xf numFmtId="0" fontId="69" fillId="11" borderId="11" xfId="0" applyFont="1" applyFill="1" applyBorder="1" applyAlignment="1">
      <alignment horizontal="left" vertical="center" wrapText="1"/>
    </xf>
    <xf numFmtId="49" fontId="69" fillId="11" borderId="11" xfId="0" applyNumberFormat="1" applyFont="1" applyFill="1" applyBorder="1" applyAlignment="1">
      <alignment horizontal="center" vertical="center" wrapText="1"/>
    </xf>
    <xf numFmtId="0" fontId="80" fillId="11" borderId="11" xfId="0" applyFont="1" applyFill="1" applyBorder="1" applyAlignment="1">
      <alignment horizontal="left" vertical="center" wrapText="1"/>
    </xf>
    <xf numFmtId="49" fontId="80" fillId="11" borderId="11" xfId="0" applyNumberFormat="1" applyFont="1" applyFill="1" applyBorder="1" applyAlignment="1">
      <alignment horizontal="center" vertical="center" wrapText="1"/>
    </xf>
    <xf numFmtId="0" fontId="53" fillId="0" borderId="23" xfId="0" applyFont="1" applyFill="1" applyBorder="1" applyAlignment="1">
      <alignment horizontal="center" vertical="center" wrapText="1"/>
    </xf>
    <xf numFmtId="0" fontId="53" fillId="0" borderId="23" xfId="0" applyFont="1" applyFill="1" applyBorder="1" applyAlignment="1">
      <alignment horizontal="left" vertical="center" wrapText="1"/>
    </xf>
    <xf numFmtId="2" fontId="53" fillId="0" borderId="23" xfId="0" applyNumberFormat="1" applyFont="1" applyFill="1" applyBorder="1" applyAlignment="1">
      <alignment horizontal="center" vertical="center"/>
    </xf>
    <xf numFmtId="0" fontId="51" fillId="11" borderId="11" xfId="0" applyFont="1" applyFill="1" applyBorder="1" applyAlignment="1">
      <alignment horizontal="center" vertical="center"/>
    </xf>
    <xf numFmtId="49" fontId="51" fillId="11" borderId="11" xfId="0" applyNumberFormat="1" applyFont="1" applyFill="1" applyBorder="1" applyAlignment="1">
      <alignment horizontal="center" vertical="center"/>
    </xf>
    <xf numFmtId="2" fontId="51" fillId="11" borderId="11" xfId="0" applyNumberFormat="1" applyFont="1" applyFill="1" applyBorder="1" applyAlignment="1">
      <alignment horizontal="center" vertical="center"/>
    </xf>
    <xf numFmtId="0" fontId="62" fillId="0" borderId="7" xfId="0" applyFont="1" applyFill="1" applyBorder="1" applyAlignment="1">
      <alignment horizontal="left" vertical="center" wrapText="1"/>
    </xf>
    <xf numFmtId="0" fontId="71" fillId="0" borderId="11" xfId="7" applyFont="1" applyFill="1" applyBorder="1" applyAlignment="1">
      <alignment horizontal="center" vertical="center" wrapText="1"/>
    </xf>
    <xf numFmtId="0" fontId="71" fillId="0" borderId="11" xfId="7" applyFont="1" applyFill="1" applyBorder="1" applyAlignment="1">
      <alignment vertical="center" wrapText="1"/>
    </xf>
    <xf numFmtId="0" fontId="68" fillId="0" borderId="11" xfId="0" applyFont="1" applyFill="1" applyBorder="1" applyAlignment="1">
      <alignment horizontal="center" vertical="center" wrapText="1"/>
    </xf>
    <xf numFmtId="2" fontId="69" fillId="0" borderId="11" xfId="0" applyNumberFormat="1" applyFont="1" applyFill="1" applyBorder="1" applyAlignment="1">
      <alignment horizontal="center" vertical="center"/>
    </xf>
    <xf numFmtId="0" fontId="51" fillId="11" borderId="11" xfId="0" applyFont="1" applyFill="1" applyBorder="1"/>
    <xf numFmtId="0" fontId="51" fillId="11" borderId="11" xfId="0" applyFont="1" applyFill="1" applyBorder="1" applyAlignment="1">
      <alignment horizontal="center"/>
    </xf>
    <xf numFmtId="0" fontId="51" fillId="11" borderId="11" xfId="0" applyFont="1" applyFill="1" applyBorder="1" applyAlignment="1">
      <alignment horizontal="left"/>
    </xf>
    <xf numFmtId="49" fontId="51" fillId="11" borderId="11" xfId="0" applyNumberFormat="1" applyFont="1" applyFill="1" applyBorder="1"/>
    <xf numFmtId="2" fontId="51" fillId="11" borderId="11" xfId="0" applyNumberFormat="1" applyFont="1" applyFill="1" applyBorder="1" applyAlignment="1">
      <alignment horizontal="center"/>
    </xf>
    <xf numFmtId="166" fontId="10" fillId="6" borderId="23" xfId="1" applyNumberFormat="1" applyFont="1" applyFill="1" applyBorder="1" applyAlignment="1">
      <alignment vertical="center" wrapText="1"/>
    </xf>
    <xf numFmtId="166" fontId="10" fillId="6" borderId="25" xfId="1" applyNumberFormat="1" applyFont="1" applyFill="1" applyBorder="1" applyAlignment="1">
      <alignment vertical="center" wrapText="1"/>
    </xf>
    <xf numFmtId="164" fontId="11" fillId="0" borderId="11" xfId="0" applyNumberFormat="1" applyFont="1" applyFill="1" applyBorder="1" applyAlignment="1">
      <alignment horizontal="center" vertical="center"/>
    </xf>
    <xf numFmtId="0" fontId="21" fillId="0" borderId="11" xfId="0" applyFont="1" applyFill="1" applyBorder="1" applyAlignment="1">
      <alignment horizontal="center" vertical="center"/>
    </xf>
    <xf numFmtId="2" fontId="11" fillId="0" borderId="11" xfId="1" applyNumberFormat="1" applyFont="1" applyFill="1" applyBorder="1" applyAlignment="1">
      <alignment horizontal="center" vertical="center"/>
    </xf>
    <xf numFmtId="0" fontId="27" fillId="0" borderId="11" xfId="0" applyFont="1" applyFill="1" applyBorder="1" applyAlignment="1">
      <alignment horizontal="center" vertical="center" wrapText="1"/>
    </xf>
    <xf numFmtId="0" fontId="50" fillId="0" borderId="23" xfId="0" applyFont="1" applyFill="1" applyBorder="1" applyAlignment="1">
      <alignment horizontal="center" vertical="center" wrapText="1"/>
    </xf>
    <xf numFmtId="0" fontId="50" fillId="0" borderId="25" xfId="0" applyFont="1" applyFill="1" applyBorder="1" applyAlignment="1">
      <alignment horizontal="center" vertical="center" wrapText="1"/>
    </xf>
    <xf numFmtId="0" fontId="51" fillId="0" borderId="23" xfId="0" applyFont="1" applyFill="1" applyBorder="1" applyAlignment="1">
      <alignment horizontal="center" vertical="center"/>
    </xf>
    <xf numFmtId="0" fontId="51" fillId="0" borderId="25" xfId="0" applyFont="1" applyFill="1" applyBorder="1" applyAlignment="1">
      <alignment horizontal="center" vertical="center"/>
    </xf>
    <xf numFmtId="0" fontId="50" fillId="0" borderId="11" xfId="0" applyFont="1" applyFill="1" applyBorder="1" applyAlignment="1">
      <alignment horizontal="center" vertical="center" wrapText="1"/>
    </xf>
    <xf numFmtId="0" fontId="50" fillId="0" borderId="25" xfId="0" applyFont="1" applyFill="1" applyBorder="1" applyAlignment="1">
      <alignment horizontal="left" vertical="center" wrapText="1"/>
    </xf>
    <xf numFmtId="49" fontId="50" fillId="0" borderId="25" xfId="0" applyNumberFormat="1" applyFont="1" applyFill="1" applyBorder="1" applyAlignment="1">
      <alignment horizontal="center" vertical="center" wrapText="1"/>
    </xf>
    <xf numFmtId="0" fontId="50" fillId="0" borderId="11" xfId="0" applyFont="1" applyFill="1" applyBorder="1" applyAlignment="1">
      <alignment horizontal="left" vertical="center" wrapText="1"/>
    </xf>
    <xf numFmtId="49" fontId="50" fillId="0" borderId="11" xfId="0" applyNumberFormat="1" applyFont="1" applyFill="1" applyBorder="1" applyAlignment="1">
      <alignment horizontal="center" vertical="center" wrapText="1"/>
    </xf>
    <xf numFmtId="2" fontId="11" fillId="6" borderId="11" xfId="0" applyNumberFormat="1" applyFont="1" applyFill="1" applyBorder="1" applyAlignment="1">
      <alignment horizontal="center" vertical="center"/>
    </xf>
    <xf numFmtId="0" fontId="21" fillId="6" borderId="11" xfId="0" applyFont="1" applyFill="1" applyBorder="1" applyAlignment="1">
      <alignment horizontal="center" vertical="center"/>
    </xf>
    <xf numFmtId="2" fontId="11" fillId="6" borderId="11" xfId="1" applyNumberFormat="1" applyFont="1" applyFill="1" applyBorder="1" applyAlignment="1">
      <alignment horizontal="center" vertical="center"/>
    </xf>
    <xf numFmtId="164" fontId="11" fillId="6" borderId="11" xfId="0" applyNumberFormat="1" applyFont="1" applyFill="1" applyBorder="1" applyAlignment="1">
      <alignment horizontal="center" vertical="center"/>
    </xf>
    <xf numFmtId="0" fontId="50" fillId="0" borderId="19" xfId="0" applyFont="1" applyFill="1" applyBorder="1" applyAlignment="1">
      <alignment vertical="center" wrapText="1"/>
    </xf>
    <xf numFmtId="0" fontId="50" fillId="0" borderId="13" xfId="0" applyFont="1" applyFill="1" applyBorder="1" applyAlignment="1">
      <alignment vertical="center" wrapText="1"/>
    </xf>
    <xf numFmtId="1" fontId="51" fillId="0" borderId="11" xfId="0" applyNumberFormat="1" applyFont="1" applyFill="1" applyBorder="1" applyAlignment="1">
      <alignment horizontal="center" vertical="center" wrapText="1"/>
    </xf>
    <xf numFmtId="164" fontId="11" fillId="0" borderId="11" xfId="0" applyNumberFormat="1" applyFont="1" applyFill="1" applyBorder="1" applyAlignment="1">
      <alignment horizontal="center" vertical="center"/>
    </xf>
    <xf numFmtId="165" fontId="11" fillId="0" borderId="11" xfId="1" applyNumberFormat="1" applyFont="1" applyFill="1" applyBorder="1" applyAlignment="1">
      <alignment horizontal="center" vertical="center"/>
    </xf>
    <xf numFmtId="164" fontId="11" fillId="6" borderId="11" xfId="0" applyNumberFormat="1" applyFont="1" applyFill="1" applyBorder="1" applyAlignment="1">
      <alignment horizontal="center" vertical="center"/>
    </xf>
    <xf numFmtId="165" fontId="11" fillId="6" borderId="11" xfId="1" applyNumberFormat="1" applyFont="1" applyFill="1" applyBorder="1" applyAlignment="1">
      <alignment horizontal="center" vertical="center"/>
    </xf>
    <xf numFmtId="1" fontId="15" fillId="0" borderId="33" xfId="0" applyNumberFormat="1" applyFont="1" applyFill="1" applyBorder="1" applyAlignment="1">
      <alignment horizontal="center" vertical="center"/>
    </xf>
    <xf numFmtId="0" fontId="19" fillId="0" borderId="11" xfId="3" applyFont="1" applyFill="1" applyBorder="1" applyAlignment="1">
      <alignment horizontal="center" vertical="center"/>
    </xf>
    <xf numFmtId="0" fontId="19" fillId="0" borderId="11" xfId="3" applyFont="1" applyFill="1" applyBorder="1" applyAlignment="1">
      <alignment horizontal="left" vertical="center" wrapText="1"/>
    </xf>
    <xf numFmtId="0" fontId="19" fillId="0" borderId="11" xfId="3" applyFont="1" applyFill="1" applyBorder="1" applyAlignment="1">
      <alignment horizontal="center" vertical="center" wrapText="1"/>
    </xf>
    <xf numFmtId="164" fontId="19" fillId="0" borderId="11" xfId="4" applyNumberFormat="1" applyFont="1" applyFill="1" applyBorder="1" applyAlignment="1">
      <alignment horizontal="center" vertical="center" wrapText="1"/>
    </xf>
    <xf numFmtId="166" fontId="19" fillId="0" borderId="11" xfId="1" applyNumberFormat="1" applyFont="1" applyFill="1" applyBorder="1" applyAlignment="1">
      <alignment horizontal="center" vertical="center"/>
    </xf>
    <xf numFmtId="0" fontId="54" fillId="11" borderId="11" xfId="0" applyFont="1" applyFill="1" applyBorder="1" applyAlignment="1">
      <alignment horizontal="center" vertical="center" wrapText="1"/>
    </xf>
    <xf numFmtId="0" fontId="51" fillId="0" borderId="23" xfId="0" applyFont="1" applyFill="1" applyBorder="1" applyAlignment="1">
      <alignment horizontal="center" vertical="center"/>
    </xf>
    <xf numFmtId="0" fontId="51" fillId="0" borderId="25" xfId="0" applyFont="1" applyFill="1" applyBorder="1" applyAlignment="1">
      <alignment horizontal="center" vertical="center"/>
    </xf>
    <xf numFmtId="0" fontId="50" fillId="0" borderId="23" xfId="0" applyFont="1" applyFill="1" applyBorder="1" applyAlignment="1">
      <alignment horizontal="center" vertical="center" wrapText="1"/>
    </xf>
    <xf numFmtId="0" fontId="50" fillId="0" borderId="25" xfId="0" applyFont="1" applyFill="1" applyBorder="1" applyAlignment="1">
      <alignment horizontal="center" vertical="center" wrapText="1"/>
    </xf>
    <xf numFmtId="0" fontId="51" fillId="0" borderId="7" xfId="0" applyFont="1" applyFill="1" applyBorder="1" applyAlignment="1">
      <alignment horizontal="center" vertical="center"/>
    </xf>
    <xf numFmtId="0" fontId="50" fillId="0" borderId="7" xfId="0" applyFont="1" applyFill="1" applyBorder="1" applyAlignment="1">
      <alignment horizontal="center" vertical="center" wrapText="1"/>
    </xf>
    <xf numFmtId="1" fontId="62" fillId="0" borderId="11" xfId="0" applyNumberFormat="1" applyFont="1" applyFill="1" applyBorder="1" applyAlignment="1">
      <alignment horizontal="center" vertical="center" wrapText="1"/>
    </xf>
    <xf numFmtId="0" fontId="71" fillId="0" borderId="11" xfId="0" applyFont="1" applyFill="1" applyBorder="1" applyAlignment="1">
      <alignment horizontal="center" vertical="center" wrapText="1"/>
    </xf>
    <xf numFmtId="0" fontId="71" fillId="0" borderId="11" xfId="2" applyFont="1" applyFill="1" applyBorder="1" applyAlignment="1">
      <alignment horizontal="center" vertical="center" wrapText="1"/>
    </xf>
    <xf numFmtId="164" fontId="71" fillId="0" borderId="11" xfId="2" applyNumberFormat="1" applyFont="1" applyFill="1" applyBorder="1" applyAlignment="1">
      <alignment horizontal="center" vertical="center" wrapText="1"/>
    </xf>
    <xf numFmtId="43" fontId="19" fillId="0" borderId="11" xfId="1" applyFont="1" applyFill="1" applyBorder="1" applyAlignment="1">
      <alignment horizontal="center" vertical="center" wrapText="1"/>
    </xf>
    <xf numFmtId="168" fontId="19" fillId="0" borderId="11" xfId="1" applyNumberFormat="1" applyFont="1" applyFill="1" applyBorder="1" applyAlignment="1">
      <alignment horizontal="center" vertical="center" wrapText="1"/>
    </xf>
    <xf numFmtId="165" fontId="19" fillId="0" borderId="11" xfId="1" applyNumberFormat="1" applyFont="1" applyFill="1" applyBorder="1" applyAlignment="1">
      <alignment horizontal="center" vertical="center" wrapText="1"/>
    </xf>
    <xf numFmtId="164" fontId="31" fillId="0" borderId="11" xfId="2" applyNumberFormat="1" applyFont="1" applyFill="1" applyBorder="1" applyAlignment="1">
      <alignment horizontal="center" vertical="center" wrapText="1"/>
    </xf>
    <xf numFmtId="164" fontId="17" fillId="0" borderId="11" xfId="2" applyNumberFormat="1" applyFont="1" applyFill="1" applyBorder="1" applyAlignment="1">
      <alignment horizontal="center" vertical="center" wrapText="1"/>
    </xf>
    <xf numFmtId="0" fontId="19" fillId="0" borderId="11" xfId="4" applyFont="1" applyFill="1" applyBorder="1" applyAlignment="1">
      <alignment horizontal="left" vertical="center" wrapText="1"/>
    </xf>
    <xf numFmtId="0" fontId="19" fillId="0" borderId="11" xfId="4" applyFont="1" applyFill="1" applyBorder="1" applyAlignment="1">
      <alignment horizontal="center" vertical="center" wrapText="1"/>
    </xf>
    <xf numFmtId="164" fontId="11" fillId="0" borderId="11" xfId="0" applyNumberFormat="1" applyFont="1" applyFill="1" applyBorder="1" applyAlignment="1">
      <alignment horizontal="center" vertical="center" wrapText="1"/>
    </xf>
    <xf numFmtId="0" fontId="21" fillId="0" borderId="11" xfId="0" applyFont="1" applyFill="1" applyBorder="1" applyAlignment="1">
      <alignment horizontal="center" vertical="center" wrapText="1"/>
    </xf>
    <xf numFmtId="168" fontId="11" fillId="0" borderId="11" xfId="1" applyNumberFormat="1" applyFont="1" applyFill="1" applyBorder="1" applyAlignment="1">
      <alignment horizontal="center" vertical="center"/>
    </xf>
    <xf numFmtId="165" fontId="15" fillId="6" borderId="11" xfId="1" applyNumberFormat="1" applyFont="1" applyFill="1" applyBorder="1" applyAlignment="1">
      <alignment horizontal="center" vertical="center"/>
    </xf>
    <xf numFmtId="0" fontId="11" fillId="0" borderId="11" xfId="0" applyFont="1" applyFill="1" applyBorder="1" applyAlignment="1">
      <alignment horizontal="center" vertical="center"/>
    </xf>
    <xf numFmtId="0" fontId="11" fillId="0" borderId="11" xfId="0" applyFont="1" applyFill="1" applyBorder="1" applyAlignment="1">
      <alignment horizontal="left" vertical="center" wrapText="1"/>
    </xf>
    <xf numFmtId="164" fontId="11" fillId="0" borderId="11" xfId="1" applyNumberFormat="1" applyFont="1" applyFill="1" applyBorder="1" applyAlignment="1">
      <alignment horizontal="center" vertical="center" wrapText="1"/>
    </xf>
    <xf numFmtId="164" fontId="11" fillId="0" borderId="11" xfId="1" applyNumberFormat="1" applyFont="1" applyFill="1" applyBorder="1" applyAlignment="1">
      <alignment horizontal="center" vertical="center"/>
    </xf>
    <xf numFmtId="166" fontId="11" fillId="0" borderId="11" xfId="1" applyNumberFormat="1" applyFont="1" applyFill="1" applyBorder="1" applyAlignment="1">
      <alignment horizontal="center" vertical="center"/>
    </xf>
    <xf numFmtId="43" fontId="9" fillId="0" borderId="11" xfId="1" applyFont="1" applyFill="1" applyBorder="1" applyAlignment="1">
      <alignment horizontal="center" vertical="center"/>
    </xf>
    <xf numFmtId="43" fontId="10" fillId="0" borderId="11" xfId="1" applyFont="1" applyFill="1" applyBorder="1" applyAlignment="1">
      <alignment horizontal="center" vertical="center" wrapText="1"/>
    </xf>
    <xf numFmtId="0" fontId="35" fillId="5" borderId="33" xfId="0" applyFont="1" applyFill="1" applyBorder="1" applyAlignment="1">
      <alignment horizontal="left" vertical="center" wrapText="1"/>
    </xf>
    <xf numFmtId="0" fontId="35" fillId="5" borderId="11" xfId="0" applyFont="1" applyFill="1" applyBorder="1" applyAlignment="1">
      <alignment horizontal="left" vertical="center" wrapText="1"/>
    </xf>
    <xf numFmtId="0" fontId="27" fillId="6" borderId="11" xfId="0" applyFont="1" applyFill="1" applyBorder="1" applyAlignment="1">
      <alignment horizontal="left" vertical="center" wrapText="1"/>
    </xf>
    <xf numFmtId="43" fontId="11" fillId="0" borderId="11" xfId="1" applyFont="1" applyFill="1" applyBorder="1" applyAlignment="1">
      <alignment horizontal="center" vertical="center"/>
    </xf>
    <xf numFmtId="164" fontId="21" fillId="0" borderId="11" xfId="0" applyNumberFormat="1" applyFont="1" applyFill="1" applyBorder="1" applyAlignment="1">
      <alignment horizontal="center" vertical="center"/>
    </xf>
    <xf numFmtId="165" fontId="21" fillId="0" borderId="11" xfId="1" applyNumberFormat="1" applyFont="1" applyFill="1" applyBorder="1" applyAlignment="1">
      <alignment horizontal="center" vertical="center"/>
    </xf>
    <xf numFmtId="43" fontId="27" fillId="4" borderId="11" xfId="1" applyFont="1" applyFill="1" applyBorder="1" applyAlignment="1">
      <alignment horizontal="center" vertical="center" wrapText="1"/>
    </xf>
    <xf numFmtId="43" fontId="0" fillId="0" borderId="11" xfId="1" applyFont="1" applyBorder="1" applyAlignment="1">
      <alignment vertical="center"/>
    </xf>
    <xf numFmtId="164" fontId="27" fillId="4" borderId="11" xfId="0" applyNumberFormat="1" applyFont="1" applyFill="1" applyBorder="1" applyAlignment="1">
      <alignment horizontal="center" vertical="center" wrapText="1"/>
    </xf>
    <xf numFmtId="0" fontId="0" fillId="0" borderId="11" xfId="0" applyBorder="1" applyAlignment="1">
      <alignment vertical="center"/>
    </xf>
    <xf numFmtId="164" fontId="21" fillId="0" borderId="11" xfId="0" applyNumberFormat="1" applyFont="1" applyFill="1" applyBorder="1" applyAlignment="1">
      <alignment horizontal="center" vertical="center" wrapText="1"/>
    </xf>
    <xf numFmtId="0" fontId="15" fillId="0" borderId="11" xfId="0" applyFont="1" applyFill="1" applyBorder="1" applyAlignment="1">
      <alignment horizontal="left" vertical="center"/>
    </xf>
    <xf numFmtId="0" fontId="21" fillId="0" borderId="11" xfId="0" applyFont="1" applyFill="1" applyBorder="1" applyAlignment="1">
      <alignment vertical="center" wrapText="1"/>
    </xf>
    <xf numFmtId="164" fontId="33" fillId="0" borderId="11" xfId="0" applyNumberFormat="1" applyFont="1" applyFill="1" applyBorder="1" applyAlignment="1">
      <alignment horizontal="center" vertical="center"/>
    </xf>
    <xf numFmtId="1" fontId="20" fillId="0" borderId="33" xfId="0" applyNumberFormat="1" applyFont="1" applyFill="1" applyBorder="1" applyAlignment="1">
      <alignment horizontal="center" vertical="center"/>
    </xf>
    <xf numFmtId="0" fontId="13" fillId="0" borderId="11" xfId="3" applyFill="1" applyBorder="1" applyAlignment="1">
      <alignment horizontal="center" vertical="center"/>
    </xf>
    <xf numFmtId="0" fontId="3" fillId="0" borderId="11" xfId="4" applyFill="1" applyBorder="1" applyAlignment="1">
      <alignment horizontal="left" vertical="top" wrapText="1"/>
    </xf>
    <xf numFmtId="0" fontId="3" fillId="0" borderId="11" xfId="4" applyFill="1" applyBorder="1" applyAlignment="1">
      <alignment horizontal="center" vertical="center" wrapText="1"/>
    </xf>
    <xf numFmtId="164" fontId="3" fillId="0" borderId="11" xfId="4" applyNumberFormat="1" applyFill="1" applyBorder="1" applyAlignment="1">
      <alignment horizontal="center" vertical="center" wrapText="1"/>
    </xf>
    <xf numFmtId="166" fontId="7" fillId="0" borderId="11" xfId="1" applyNumberFormat="1" applyFont="1" applyFill="1" applyBorder="1" applyAlignment="1">
      <alignment horizontal="center" vertical="center"/>
    </xf>
    <xf numFmtId="43" fontId="33" fillId="0" borderId="11" xfId="1" applyFont="1" applyFill="1" applyBorder="1" applyAlignment="1">
      <alignment horizontal="center" vertical="center"/>
    </xf>
    <xf numFmtId="1" fontId="22" fillId="0" borderId="33" xfId="0" applyNumberFormat="1" applyFont="1" applyFill="1" applyBorder="1" applyAlignment="1">
      <alignment horizontal="center" vertical="center" wrapText="1"/>
    </xf>
    <xf numFmtId="0" fontId="15" fillId="0" borderId="11" xfId="5" applyFont="1" applyFill="1" applyBorder="1" applyAlignment="1">
      <alignment horizontal="center" vertical="center" wrapText="1"/>
    </xf>
    <xf numFmtId="167" fontId="15" fillId="0" borderId="11" xfId="5" applyNumberFormat="1" applyFont="1" applyFill="1" applyBorder="1" applyAlignment="1">
      <alignment horizontal="left" vertical="center" wrapText="1"/>
    </xf>
    <xf numFmtId="164" fontId="15" fillId="0" borderId="11" xfId="1" applyNumberFormat="1" applyFont="1" applyFill="1" applyBorder="1" applyAlignment="1">
      <alignment horizontal="center" vertical="center" wrapText="1"/>
    </xf>
    <xf numFmtId="166" fontId="15" fillId="0" borderId="11" xfId="1" applyNumberFormat="1" applyFont="1" applyFill="1" applyBorder="1" applyAlignment="1">
      <alignment horizontal="center" vertical="center" wrapText="1"/>
    </xf>
    <xf numFmtId="0" fontId="27" fillId="8" borderId="11" xfId="0" applyFont="1" applyFill="1" applyBorder="1" applyAlignment="1">
      <alignment horizontal="left" vertical="center" wrapText="1"/>
    </xf>
    <xf numFmtId="0" fontId="27" fillId="4" borderId="33" xfId="0" applyFont="1" applyFill="1" applyBorder="1" applyAlignment="1">
      <alignment horizontal="left" vertical="center" wrapText="1"/>
    </xf>
    <xf numFmtId="0" fontId="27" fillId="4" borderId="11" xfId="0" applyFont="1" applyFill="1" applyBorder="1" applyAlignment="1">
      <alignment horizontal="left" vertical="center" wrapText="1"/>
    </xf>
    <xf numFmtId="0" fontId="33" fillId="7" borderId="33" xfId="0" applyFont="1" applyFill="1" applyBorder="1" applyAlignment="1">
      <alignment horizontal="center" vertical="center"/>
    </xf>
    <xf numFmtId="0" fontId="33" fillId="7" borderId="11" xfId="0" applyFont="1" applyFill="1" applyBorder="1" applyAlignment="1">
      <alignment horizontal="center" vertical="center"/>
    </xf>
    <xf numFmtId="0" fontId="33" fillId="4" borderId="33" xfId="0" applyFont="1" applyFill="1" applyBorder="1" applyAlignment="1">
      <alignment horizontal="center" vertical="center" wrapText="1"/>
    </xf>
    <xf numFmtId="0" fontId="33" fillId="4" borderId="11" xfId="0" applyFont="1" applyFill="1" applyBorder="1" applyAlignment="1">
      <alignment horizontal="center" vertical="center" wrapText="1"/>
    </xf>
    <xf numFmtId="0" fontId="33" fillId="10" borderId="33" xfId="0" applyFont="1" applyFill="1" applyBorder="1" applyAlignment="1">
      <alignment horizontal="center" vertical="center"/>
    </xf>
    <xf numFmtId="0" fontId="33" fillId="10" borderId="11" xfId="0" applyFont="1" applyFill="1" applyBorder="1" applyAlignment="1">
      <alignment horizontal="center" vertical="center"/>
    </xf>
    <xf numFmtId="0" fontId="27" fillId="9" borderId="11" xfId="0" applyFont="1" applyFill="1" applyBorder="1" applyAlignment="1">
      <alignment horizontal="center" vertical="center" wrapText="1"/>
    </xf>
    <xf numFmtId="43" fontId="27" fillId="9" borderId="11" xfId="1" applyFont="1" applyFill="1" applyBorder="1" applyAlignment="1">
      <alignment horizontal="center" vertical="center" wrapText="1"/>
    </xf>
    <xf numFmtId="165" fontId="27" fillId="9" borderId="11" xfId="1" applyNumberFormat="1" applyFont="1" applyFill="1" applyBorder="1" applyAlignment="1">
      <alignment horizontal="center" vertical="center" wrapText="1"/>
    </xf>
    <xf numFmtId="165" fontId="0" fillId="9" borderId="11" xfId="0" applyNumberFormat="1" applyFill="1" applyBorder="1" applyAlignment="1">
      <alignment horizontal="center" vertical="center"/>
    </xf>
    <xf numFmtId="165" fontId="0" fillId="0" borderId="11" xfId="0" applyNumberFormat="1" applyBorder="1" applyAlignment="1">
      <alignment vertical="center"/>
    </xf>
    <xf numFmtId="0" fontId="0" fillId="0" borderId="11" xfId="0" applyBorder="1"/>
    <xf numFmtId="0" fontId="0" fillId="0" borderId="33" xfId="0" applyBorder="1"/>
    <xf numFmtId="166" fontId="27" fillId="4" borderId="11" xfId="1" applyNumberFormat="1" applyFont="1" applyFill="1" applyBorder="1" applyAlignment="1">
      <alignment horizontal="center" vertical="center" wrapText="1"/>
    </xf>
    <xf numFmtId="0" fontId="0" fillId="0" borderId="11" xfId="0" applyBorder="1" applyAlignment="1">
      <alignment horizontal="center" vertical="center"/>
    </xf>
    <xf numFmtId="165" fontId="27" fillId="0" borderId="11" xfId="1" applyNumberFormat="1" applyFont="1" applyFill="1" applyBorder="1" applyAlignment="1">
      <alignment horizontal="center" vertical="center" wrapText="1"/>
    </xf>
    <xf numFmtId="165" fontId="0" fillId="0" borderId="11" xfId="0" applyNumberFormat="1" applyFill="1" applyBorder="1" applyAlignment="1">
      <alignment horizontal="center" vertical="center"/>
    </xf>
    <xf numFmtId="165" fontId="27" fillId="4" borderId="11" xfId="1" applyNumberFormat="1" applyFont="1" applyFill="1" applyBorder="1" applyAlignment="1">
      <alignment horizontal="center" vertical="center" wrapText="1"/>
    </xf>
    <xf numFmtId="0" fontId="27" fillId="8" borderId="11" xfId="0" applyFont="1" applyFill="1" applyBorder="1" applyAlignment="1">
      <alignment horizontal="center" vertical="center" wrapText="1"/>
    </xf>
    <xf numFmtId="0" fontId="33" fillId="10" borderId="55" xfId="0" applyFont="1" applyFill="1" applyBorder="1" applyAlignment="1">
      <alignment horizontal="center" vertical="center"/>
    </xf>
    <xf numFmtId="0" fontId="33" fillId="10" borderId="35" xfId="0" applyFont="1" applyFill="1" applyBorder="1" applyAlignment="1">
      <alignment horizontal="center" vertical="center"/>
    </xf>
    <xf numFmtId="0" fontId="27" fillId="9" borderId="11" xfId="0" applyFont="1" applyFill="1" applyBorder="1" applyAlignment="1">
      <alignment horizontal="left" vertical="center" wrapText="1"/>
    </xf>
    <xf numFmtId="43" fontId="11" fillId="0" borderId="11" xfId="1" applyFont="1" applyFill="1" applyBorder="1" applyAlignment="1">
      <alignment horizontal="center" vertical="center" wrapText="1"/>
    </xf>
    <xf numFmtId="165" fontId="9" fillId="0" borderId="11" xfId="1" applyNumberFormat="1" applyFont="1" applyFill="1" applyBorder="1" applyAlignment="1">
      <alignment horizontal="center" vertical="center"/>
    </xf>
    <xf numFmtId="0" fontId="12" fillId="0" borderId="11" xfId="0" applyFont="1" applyFill="1" applyBorder="1" applyAlignment="1">
      <alignment horizontal="center"/>
    </xf>
    <xf numFmtId="43" fontId="16" fillId="0" borderId="11" xfId="1" applyFont="1" applyFill="1" applyBorder="1" applyAlignment="1">
      <alignment horizontal="center" vertical="center"/>
    </xf>
    <xf numFmtId="165" fontId="22" fillId="0" borderId="11" xfId="1" applyNumberFormat="1" applyFont="1" applyFill="1" applyBorder="1" applyAlignment="1">
      <alignment horizontal="center" vertical="center" wrapText="1"/>
    </xf>
    <xf numFmtId="43" fontId="12" fillId="0" borderId="11" xfId="1" applyFont="1" applyFill="1" applyBorder="1" applyAlignment="1">
      <alignment horizontal="center" vertical="center"/>
    </xf>
    <xf numFmtId="2" fontId="19" fillId="0" borderId="11" xfId="1" applyNumberFormat="1" applyFont="1" applyFill="1" applyBorder="1" applyAlignment="1">
      <alignment horizontal="center" vertical="center" wrapText="1"/>
    </xf>
    <xf numFmtId="165" fontId="11" fillId="0" borderId="23" xfId="1" applyNumberFormat="1" applyFont="1" applyFill="1" applyBorder="1" applyAlignment="1">
      <alignment horizontal="center" vertical="center"/>
    </xf>
    <xf numFmtId="165" fontId="11" fillId="0" borderId="25" xfId="1" applyNumberFormat="1" applyFont="1" applyFill="1" applyBorder="1" applyAlignment="1">
      <alignment horizontal="center" vertical="center"/>
    </xf>
    <xf numFmtId="1" fontId="19" fillId="0" borderId="11" xfId="3" applyNumberFormat="1" applyFont="1" applyFill="1" applyBorder="1" applyAlignment="1">
      <alignment horizontal="center" vertical="center"/>
    </xf>
    <xf numFmtId="2" fontId="19" fillId="0" borderId="11" xfId="4" applyNumberFormat="1" applyFont="1" applyFill="1" applyBorder="1" applyAlignment="1">
      <alignment horizontal="left" vertical="center" wrapText="1"/>
    </xf>
    <xf numFmtId="2" fontId="19" fillId="0" borderId="11" xfId="4" applyNumberFormat="1" applyFont="1" applyFill="1" applyBorder="1" applyAlignment="1">
      <alignment horizontal="center" vertical="center" wrapText="1"/>
    </xf>
    <xf numFmtId="165" fontId="10" fillId="0" borderId="11" xfId="1" applyNumberFormat="1" applyFont="1" applyFill="1" applyBorder="1" applyAlignment="1">
      <alignment horizontal="center" vertical="center" wrapText="1"/>
    </xf>
    <xf numFmtId="0" fontId="11" fillId="0" borderId="33" xfId="0" applyFont="1" applyFill="1" applyBorder="1" applyAlignment="1">
      <alignment horizontal="center" vertical="center"/>
    </xf>
    <xf numFmtId="1" fontId="19" fillId="0" borderId="33" xfId="3" applyNumberFormat="1" applyFont="1" applyFill="1" applyBorder="1" applyAlignment="1">
      <alignment horizontal="center" vertical="center"/>
    </xf>
    <xf numFmtId="0" fontId="19" fillId="0" borderId="33" xfId="3" applyFont="1" applyFill="1" applyBorder="1" applyAlignment="1">
      <alignment horizontal="center" vertical="center"/>
    </xf>
    <xf numFmtId="0" fontId="12" fillId="0" borderId="11" xfId="0" applyFont="1" applyFill="1" applyBorder="1" applyAlignment="1">
      <alignment horizontal="center" vertical="center" wrapText="1"/>
    </xf>
    <xf numFmtId="0" fontId="15" fillId="0" borderId="33" xfId="5" applyFont="1" applyFill="1" applyBorder="1" applyAlignment="1">
      <alignment horizontal="center" vertical="center" wrapText="1"/>
    </xf>
    <xf numFmtId="0" fontId="33" fillId="5" borderId="33" xfId="0" applyFont="1" applyFill="1" applyBorder="1" applyAlignment="1">
      <alignment horizontal="center" vertical="center"/>
    </xf>
    <xf numFmtId="0" fontId="33" fillId="5" borderId="11" xfId="0" applyFont="1" applyFill="1" applyBorder="1" applyAlignment="1">
      <alignment horizontal="center" vertical="center"/>
    </xf>
    <xf numFmtId="0" fontId="21" fillId="0" borderId="11" xfId="0" applyFont="1" applyFill="1" applyBorder="1" applyAlignment="1">
      <alignment vertical="center"/>
    </xf>
    <xf numFmtId="2" fontId="21" fillId="0" borderId="11" xfId="0" applyNumberFormat="1" applyFont="1" applyFill="1" applyBorder="1" applyAlignment="1">
      <alignment horizontal="center" vertical="center"/>
    </xf>
    <xf numFmtId="0" fontId="21" fillId="0" borderId="11" xfId="0" applyFont="1" applyFill="1" applyBorder="1" applyAlignment="1">
      <alignment horizontal="center" vertical="center"/>
    </xf>
    <xf numFmtId="43" fontId="21" fillId="0" borderId="11" xfId="1" applyFont="1" applyFill="1" applyBorder="1" applyAlignment="1">
      <alignment horizontal="center" vertical="center"/>
    </xf>
    <xf numFmtId="2" fontId="21" fillId="0" borderId="11" xfId="1" applyNumberFormat="1" applyFont="1" applyFill="1" applyBorder="1" applyAlignment="1">
      <alignment horizontal="center" vertical="center"/>
    </xf>
    <xf numFmtId="165" fontId="21" fillId="0" borderId="11" xfId="0" applyNumberFormat="1" applyFont="1" applyFill="1" applyBorder="1" applyAlignment="1">
      <alignment vertical="center"/>
    </xf>
    <xf numFmtId="43" fontId="21" fillId="0" borderId="11" xfId="1" applyFont="1" applyFill="1" applyBorder="1" applyAlignment="1">
      <alignment vertical="center"/>
    </xf>
    <xf numFmtId="164" fontId="22" fillId="0" borderId="11" xfId="0" applyNumberFormat="1" applyFont="1" applyFill="1" applyBorder="1" applyAlignment="1">
      <alignment horizontal="center" vertical="center" wrapText="1"/>
    </xf>
    <xf numFmtId="164" fontId="22" fillId="0" borderId="11" xfId="0" applyNumberFormat="1" applyFont="1" applyFill="1" applyBorder="1" applyAlignment="1">
      <alignment horizontal="center" vertical="center"/>
    </xf>
    <xf numFmtId="0" fontId="22" fillId="0" borderId="11" xfId="0" applyFont="1" applyFill="1" applyBorder="1" applyAlignment="1">
      <alignment horizontal="center" vertical="center" wrapText="1"/>
    </xf>
    <xf numFmtId="165" fontId="22" fillId="0" borderId="11" xfId="1" applyNumberFormat="1" applyFont="1" applyFill="1" applyBorder="1" applyAlignment="1">
      <alignment horizontal="center" vertical="center"/>
    </xf>
    <xf numFmtId="166" fontId="15" fillId="0" borderId="11" xfId="1" applyNumberFormat="1" applyFont="1" applyFill="1" applyBorder="1" applyAlignment="1">
      <alignment horizontal="center" vertical="center"/>
    </xf>
    <xf numFmtId="43" fontId="22" fillId="0" borderId="11" xfId="1" applyFont="1" applyFill="1" applyBorder="1" applyAlignment="1">
      <alignment horizontal="center" vertical="center"/>
    </xf>
    <xf numFmtId="0" fontId="0" fillId="0" borderId="11" xfId="0" applyFill="1" applyBorder="1" applyAlignment="1">
      <alignment horizontal="left" vertical="center" wrapText="1"/>
    </xf>
    <xf numFmtId="0" fontId="19" fillId="0" borderId="11" xfId="4" applyFont="1" applyFill="1" applyBorder="1" applyAlignment="1">
      <alignment horizontal="center" vertical="center"/>
    </xf>
    <xf numFmtId="0" fontId="0" fillId="0" borderId="11" xfId="0" applyFill="1" applyBorder="1" applyAlignment="1">
      <alignment horizontal="center" vertical="center"/>
    </xf>
    <xf numFmtId="164" fontId="19" fillId="0" borderId="11" xfId="4" applyNumberFormat="1" applyFont="1" applyFill="1" applyBorder="1" applyAlignment="1">
      <alignment horizontal="center" vertical="center"/>
    </xf>
    <xf numFmtId="2" fontId="11" fillId="0" borderId="11" xfId="1" applyNumberFormat="1" applyFont="1" applyFill="1" applyBorder="1" applyAlignment="1">
      <alignment horizontal="center" vertical="center"/>
    </xf>
    <xf numFmtId="0" fontId="15" fillId="0" borderId="11" xfId="0" applyFont="1" applyFill="1" applyBorder="1" applyAlignment="1">
      <alignment horizontal="center" vertical="center"/>
    </xf>
    <xf numFmtId="1" fontId="15" fillId="11" borderId="33" xfId="0" applyNumberFormat="1" applyFont="1" applyFill="1" applyBorder="1" applyAlignment="1">
      <alignment horizontal="left" vertical="center" wrapText="1"/>
    </xf>
    <xf numFmtId="1" fontId="15" fillId="11" borderId="11" xfId="0" applyNumberFormat="1" applyFont="1" applyFill="1" applyBorder="1" applyAlignment="1">
      <alignment horizontal="left" vertical="center" wrapText="1"/>
    </xf>
    <xf numFmtId="0" fontId="28" fillId="5" borderId="33" xfId="0" applyFont="1" applyFill="1" applyBorder="1" applyAlignment="1">
      <alignment horizontal="center" vertical="center"/>
    </xf>
    <xf numFmtId="0" fontId="28" fillId="5" borderId="11" xfId="0" applyFont="1" applyFill="1" applyBorder="1" applyAlignment="1">
      <alignment horizontal="center" vertical="center"/>
    </xf>
    <xf numFmtId="0" fontId="30" fillId="2" borderId="0" xfId="2" applyFont="1" applyFill="1" applyBorder="1" applyAlignment="1">
      <alignment horizontal="center" vertical="center" wrapText="1"/>
    </xf>
    <xf numFmtId="0" fontId="63" fillId="0" borderId="11" xfId="0" applyFont="1" applyBorder="1" applyAlignment="1">
      <alignment horizontal="center" vertical="top"/>
    </xf>
    <xf numFmtId="165" fontId="21" fillId="0" borderId="23" xfId="1" applyNumberFormat="1" applyFont="1" applyFill="1" applyBorder="1" applyAlignment="1">
      <alignment horizontal="center" vertical="center"/>
    </xf>
    <xf numFmtId="165" fontId="21" fillId="0" borderId="25" xfId="1" applyNumberFormat="1" applyFont="1" applyFill="1" applyBorder="1" applyAlignment="1">
      <alignment horizontal="center" vertical="center"/>
    </xf>
    <xf numFmtId="0" fontId="8" fillId="17" borderId="47" xfId="0" applyFont="1" applyFill="1" applyBorder="1" applyAlignment="1">
      <alignment horizontal="center" vertical="center"/>
    </xf>
    <xf numFmtId="0" fontId="8" fillId="17" borderId="30" xfId="0" applyFont="1" applyFill="1" applyBorder="1" applyAlignment="1">
      <alignment horizontal="center" vertical="center"/>
    </xf>
    <xf numFmtId="0" fontId="8" fillId="17" borderId="58" xfId="0" applyFont="1" applyFill="1" applyBorder="1" applyAlignment="1">
      <alignment horizontal="center" vertical="center"/>
    </xf>
    <xf numFmtId="1" fontId="75" fillId="16" borderId="19" xfId="0" applyNumberFormat="1" applyFont="1" applyFill="1" applyBorder="1" applyAlignment="1">
      <alignment horizontal="center" vertical="center"/>
    </xf>
    <xf numFmtId="1" fontId="75" fillId="16" borderId="30" xfId="0" applyNumberFormat="1" applyFont="1" applyFill="1" applyBorder="1" applyAlignment="1">
      <alignment horizontal="center" vertical="center"/>
    </xf>
    <xf numFmtId="1" fontId="75" fillId="16" borderId="13" xfId="0" applyNumberFormat="1" applyFont="1" applyFill="1" applyBorder="1" applyAlignment="1">
      <alignment horizontal="center" vertical="center"/>
    </xf>
    <xf numFmtId="0" fontId="10" fillId="0" borderId="11" xfId="0" applyFont="1" applyFill="1" applyBorder="1" applyAlignment="1">
      <alignment horizontal="center" vertical="center" wrapText="1"/>
    </xf>
    <xf numFmtId="0" fontId="2" fillId="2" borderId="11" xfId="0" applyFont="1" applyFill="1" applyBorder="1" applyAlignment="1">
      <alignment horizontal="center" vertical="center"/>
    </xf>
    <xf numFmtId="0" fontId="2" fillId="2" borderId="11" xfId="0" applyFont="1" applyFill="1" applyBorder="1" applyAlignment="1">
      <alignment horizontal="center" vertical="center" wrapText="1"/>
    </xf>
    <xf numFmtId="0" fontId="4" fillId="2" borderId="11" xfId="2" applyFont="1" applyFill="1" applyBorder="1" applyAlignment="1">
      <alignment horizontal="center" vertical="center" wrapText="1"/>
    </xf>
    <xf numFmtId="164" fontId="4" fillId="0" borderId="11" xfId="2" applyNumberFormat="1" applyFont="1" applyFill="1" applyBorder="1" applyAlignment="1">
      <alignment horizontal="center" vertical="center" wrapText="1"/>
    </xf>
    <xf numFmtId="0" fontId="5" fillId="0" borderId="11" xfId="2" applyFont="1" applyFill="1" applyBorder="1" applyAlignment="1">
      <alignment horizontal="center" vertical="center" wrapText="1"/>
    </xf>
    <xf numFmtId="0" fontId="4" fillId="0" borderId="11" xfId="2" applyFont="1" applyFill="1" applyBorder="1" applyAlignment="1">
      <alignment horizontal="center" vertical="center" wrapText="1"/>
    </xf>
    <xf numFmtId="43" fontId="4" fillId="0" borderId="11" xfId="1" applyFont="1" applyFill="1" applyBorder="1" applyAlignment="1">
      <alignment horizontal="center" vertical="center" wrapText="1"/>
    </xf>
    <xf numFmtId="164" fontId="7" fillId="0" borderId="11" xfId="2" applyNumberFormat="1" applyFont="1" applyFill="1" applyBorder="1" applyAlignment="1">
      <alignment horizontal="center" vertical="center" wrapText="1"/>
    </xf>
    <xf numFmtId="166" fontId="10" fillId="0" borderId="11" xfId="1" applyNumberFormat="1" applyFont="1" applyFill="1" applyBorder="1" applyAlignment="1">
      <alignment horizontal="center" vertical="center" wrapText="1"/>
    </xf>
    <xf numFmtId="167" fontId="10" fillId="0" borderId="11" xfId="0" applyNumberFormat="1" applyFont="1" applyFill="1" applyBorder="1" applyAlignment="1">
      <alignment horizontal="center" vertical="center" wrapText="1"/>
    </xf>
    <xf numFmtId="3" fontId="10" fillId="0" borderId="11" xfId="0" applyNumberFormat="1" applyFont="1" applyFill="1" applyBorder="1" applyAlignment="1">
      <alignment horizontal="center" vertical="center" wrapText="1"/>
    </xf>
    <xf numFmtId="43" fontId="9" fillId="0" borderId="11" xfId="1" applyFont="1" applyFill="1" applyBorder="1" applyAlignment="1">
      <alignment horizontal="center" vertical="center" wrapText="1"/>
    </xf>
    <xf numFmtId="166" fontId="4" fillId="0" borderId="11" xfId="1" applyNumberFormat="1" applyFont="1" applyFill="1" applyBorder="1" applyAlignment="1">
      <alignment horizontal="center" vertical="center" wrapText="1"/>
    </xf>
    <xf numFmtId="0" fontId="26" fillId="0" borderId="11" xfId="0" applyFont="1" applyFill="1" applyBorder="1" applyAlignment="1">
      <alignment horizontal="center" vertical="center"/>
    </xf>
    <xf numFmtId="0" fontId="10" fillId="0" borderId="11" xfId="0" applyFont="1" applyFill="1" applyBorder="1" applyAlignment="1">
      <alignment vertical="center" wrapText="1"/>
    </xf>
    <xf numFmtId="164" fontId="10" fillId="0" borderId="11" xfId="0" applyNumberFormat="1" applyFont="1" applyFill="1" applyBorder="1" applyAlignment="1">
      <alignment horizontal="center" vertical="center" wrapText="1"/>
    </xf>
    <xf numFmtId="0" fontId="10" fillId="0" borderId="11" xfId="0" applyFont="1" applyFill="1" applyBorder="1" applyAlignment="1">
      <alignment horizontal="left" vertical="center" wrapText="1"/>
    </xf>
    <xf numFmtId="0" fontId="24" fillId="0" borderId="11" xfId="0" applyFont="1" applyFill="1" applyBorder="1" applyAlignment="1">
      <alignment vertical="center" wrapText="1"/>
    </xf>
    <xf numFmtId="43" fontId="10" fillId="0" borderId="11" xfId="1" applyFont="1" applyFill="1" applyBorder="1" applyAlignment="1">
      <alignment vertical="center" wrapText="1"/>
    </xf>
    <xf numFmtId="0" fontId="16" fillId="0" borderId="11" xfId="0" applyFont="1" applyFill="1" applyBorder="1" applyAlignment="1">
      <alignment horizontal="center" vertical="center" wrapText="1"/>
    </xf>
    <xf numFmtId="164" fontId="16" fillId="0" borderId="11" xfId="0" applyNumberFormat="1" applyFont="1" applyFill="1" applyBorder="1" applyAlignment="1">
      <alignment horizontal="center" vertical="center" wrapText="1"/>
    </xf>
    <xf numFmtId="43" fontId="16" fillId="0" borderId="11" xfId="1" applyFont="1" applyFill="1" applyBorder="1" applyAlignment="1">
      <alignment horizontal="center" vertical="center" wrapText="1"/>
    </xf>
    <xf numFmtId="0" fontId="12" fillId="0" borderId="11" xfId="0" applyFont="1" applyFill="1" applyBorder="1" applyAlignment="1">
      <alignment vertical="center" wrapText="1"/>
    </xf>
    <xf numFmtId="0" fontId="12" fillId="0" borderId="11" xfId="0" applyFont="1" applyFill="1" applyBorder="1" applyAlignment="1">
      <alignment horizontal="center" vertical="center"/>
    </xf>
    <xf numFmtId="166" fontId="16" fillId="0" borderId="11" xfId="1" applyNumberFormat="1" applyFont="1" applyFill="1" applyBorder="1" applyAlignment="1">
      <alignment horizontal="center" vertical="center" wrapText="1"/>
    </xf>
    <xf numFmtId="166" fontId="10" fillId="0" borderId="23" xfId="1" applyNumberFormat="1" applyFont="1" applyFill="1" applyBorder="1" applyAlignment="1">
      <alignment horizontal="center" vertical="center" wrapText="1"/>
    </xf>
    <xf numFmtId="166" fontId="10" fillId="0" borderId="25" xfId="1" applyNumberFormat="1" applyFont="1" applyFill="1" applyBorder="1" applyAlignment="1">
      <alignment horizontal="center" vertical="center" wrapText="1"/>
    </xf>
    <xf numFmtId="0" fontId="16" fillId="0" borderId="11" xfId="0" applyFont="1" applyFill="1" applyBorder="1" applyAlignment="1">
      <alignment vertical="center" wrapText="1"/>
    </xf>
    <xf numFmtId="166" fontId="12" fillId="0" borderId="11" xfId="0" applyNumberFormat="1" applyFont="1" applyFill="1" applyBorder="1" applyAlignment="1">
      <alignment horizontal="center" vertical="center"/>
    </xf>
    <xf numFmtId="43" fontId="16" fillId="0" borderId="11" xfId="1" applyFont="1" applyFill="1" applyBorder="1" applyAlignment="1">
      <alignment vertical="center" wrapText="1"/>
    </xf>
    <xf numFmtId="0" fontId="12" fillId="0" borderId="11" xfId="0" applyFont="1" applyFill="1" applyBorder="1" applyAlignment="1">
      <alignment horizontal="center" wrapText="1"/>
    </xf>
    <xf numFmtId="166" fontId="16" fillId="0" borderId="23" xfId="1" applyNumberFormat="1" applyFont="1" applyFill="1" applyBorder="1" applyAlignment="1">
      <alignment horizontal="center" vertical="center" wrapText="1"/>
    </xf>
    <xf numFmtId="166" fontId="16" fillId="0" borderId="25" xfId="1" applyNumberFormat="1" applyFont="1" applyFill="1" applyBorder="1" applyAlignment="1">
      <alignment horizontal="center" vertical="center" wrapText="1"/>
    </xf>
    <xf numFmtId="43" fontId="9" fillId="0" borderId="11" xfId="1" applyFont="1" applyFill="1" applyBorder="1" applyAlignment="1">
      <alignment vertical="center" wrapText="1"/>
    </xf>
    <xf numFmtId="164" fontId="16" fillId="0" borderId="11" xfId="1" applyNumberFormat="1" applyFont="1" applyFill="1" applyBorder="1" applyAlignment="1">
      <alignment horizontal="center" vertical="center" wrapText="1"/>
    </xf>
    <xf numFmtId="3" fontId="16" fillId="0" borderId="11" xfId="0" applyNumberFormat="1" applyFont="1" applyFill="1" applyBorder="1" applyAlignment="1">
      <alignment horizontal="center" vertical="center" wrapText="1"/>
    </xf>
    <xf numFmtId="0" fontId="10" fillId="0" borderId="11" xfId="6" applyFont="1" applyFill="1" applyBorder="1" applyAlignment="1">
      <alignment horizontal="center" vertical="center" wrapText="1"/>
    </xf>
    <xf numFmtId="166" fontId="16" fillId="0" borderId="23" xfId="0" applyNumberFormat="1" applyFont="1" applyFill="1" applyBorder="1" applyAlignment="1">
      <alignment horizontal="center" vertical="center" wrapText="1"/>
    </xf>
    <xf numFmtId="166" fontId="16" fillId="0" borderId="25" xfId="0" applyNumberFormat="1" applyFont="1" applyFill="1" applyBorder="1" applyAlignment="1">
      <alignment horizontal="center" vertical="center" wrapText="1"/>
    </xf>
    <xf numFmtId="164" fontId="10" fillId="0" borderId="11" xfId="1" applyNumberFormat="1" applyFont="1" applyFill="1" applyBorder="1" applyAlignment="1">
      <alignment horizontal="center" vertical="center" wrapText="1"/>
    </xf>
    <xf numFmtId="167" fontId="10" fillId="0" borderId="11" xfId="1" applyNumberFormat="1" applyFont="1" applyFill="1" applyBorder="1" applyAlignment="1">
      <alignment horizontal="center" vertical="center" wrapText="1"/>
    </xf>
    <xf numFmtId="166" fontId="10" fillId="0" borderId="11" xfId="1" applyNumberFormat="1" applyFont="1" applyFill="1" applyBorder="1" applyAlignment="1">
      <alignment vertical="center" wrapText="1"/>
    </xf>
    <xf numFmtId="166" fontId="12" fillId="0" borderId="23" xfId="0" applyNumberFormat="1" applyFont="1" applyFill="1" applyBorder="1" applyAlignment="1">
      <alignment horizontal="center" vertical="center"/>
    </xf>
    <xf numFmtId="166" fontId="12" fillId="0" borderId="25" xfId="0" applyNumberFormat="1" applyFont="1" applyFill="1" applyBorder="1" applyAlignment="1">
      <alignment horizontal="center" vertical="center"/>
    </xf>
    <xf numFmtId="166" fontId="27" fillId="0" borderId="23" xfId="1" applyNumberFormat="1" applyFont="1" applyFill="1" applyBorder="1" applyAlignment="1">
      <alignment horizontal="center" vertical="center" wrapText="1"/>
    </xf>
    <xf numFmtId="166" fontId="27" fillId="0" borderId="25" xfId="1" applyNumberFormat="1" applyFont="1" applyFill="1" applyBorder="1" applyAlignment="1">
      <alignment horizontal="center" vertical="center" wrapText="1"/>
    </xf>
    <xf numFmtId="0" fontId="27" fillId="0" borderId="11" xfId="0" applyFont="1" applyFill="1" applyBorder="1" applyAlignment="1">
      <alignment horizontal="center" vertical="center" wrapText="1"/>
    </xf>
    <xf numFmtId="164" fontId="0" fillId="0" borderId="11" xfId="0" applyNumberFormat="1" applyFill="1" applyBorder="1" applyAlignment="1">
      <alignment horizontal="center" vertical="center" wrapText="1"/>
    </xf>
    <xf numFmtId="0" fontId="0" fillId="0" borderId="11" xfId="0" applyFill="1" applyBorder="1" applyAlignment="1">
      <alignment horizontal="center" vertical="center" wrapText="1"/>
    </xf>
    <xf numFmtId="167" fontId="0" fillId="0" borderId="11" xfId="0" applyNumberFormat="1" applyFill="1" applyBorder="1" applyAlignment="1">
      <alignment horizontal="center" vertical="center" wrapText="1"/>
    </xf>
    <xf numFmtId="0" fontId="16" fillId="0" borderId="11" xfId="0" applyFont="1" applyFill="1" applyBorder="1" applyAlignment="1">
      <alignment horizontal="center" vertical="center"/>
    </xf>
    <xf numFmtId="167" fontId="24" fillId="0" borderId="11" xfId="1" applyNumberFormat="1" applyFont="1" applyFill="1" applyBorder="1" applyAlignment="1">
      <alignment horizontal="center" vertical="center" wrapText="1"/>
    </xf>
    <xf numFmtId="43" fontId="14" fillId="0" borderId="11" xfId="1" applyFont="1" applyFill="1" applyBorder="1" applyAlignment="1">
      <alignment horizontal="center" vertical="center" wrapText="1"/>
    </xf>
    <xf numFmtId="166" fontId="14" fillId="0" borderId="11" xfId="1" applyNumberFormat="1" applyFont="1" applyFill="1" applyBorder="1" applyAlignment="1">
      <alignment horizontal="center" vertical="center" wrapText="1"/>
    </xf>
    <xf numFmtId="166" fontId="14" fillId="0" borderId="23" xfId="1" applyNumberFormat="1" applyFont="1" applyFill="1" applyBorder="1" applyAlignment="1">
      <alignment horizontal="center" vertical="center" wrapText="1"/>
    </xf>
    <xf numFmtId="166" fontId="14" fillId="0" borderId="25" xfId="1" applyNumberFormat="1" applyFont="1" applyFill="1" applyBorder="1" applyAlignment="1">
      <alignment horizontal="center" vertical="center" wrapText="1"/>
    </xf>
    <xf numFmtId="0" fontId="10" fillId="4" borderId="11" xfId="0" applyFont="1" applyFill="1" applyBorder="1" applyAlignment="1">
      <alignment horizontal="left" vertical="center" wrapText="1"/>
    </xf>
    <xf numFmtId="1" fontId="10" fillId="0" borderId="11" xfId="0" applyNumberFormat="1" applyFont="1" applyFill="1" applyBorder="1" applyAlignment="1">
      <alignment horizontal="center" vertical="center" wrapText="1"/>
    </xf>
    <xf numFmtId="0" fontId="12" fillId="0" borderId="11" xfId="5" applyFont="1" applyFill="1" applyBorder="1" applyAlignment="1">
      <alignment horizontal="center" vertical="center" wrapText="1"/>
    </xf>
    <xf numFmtId="167" fontId="24" fillId="0" borderId="11" xfId="5" applyNumberFormat="1" applyFont="1" applyFill="1" applyBorder="1" applyAlignment="1">
      <alignment horizontal="left" vertical="center" wrapText="1"/>
    </xf>
    <xf numFmtId="164" fontId="24" fillId="0" borderId="11" xfId="1" applyNumberFormat="1" applyFont="1" applyFill="1" applyBorder="1" applyAlignment="1">
      <alignment horizontal="center" vertical="center" wrapText="1"/>
    </xf>
    <xf numFmtId="0" fontId="10" fillId="9" borderId="11" xfId="0" applyFont="1" applyFill="1" applyBorder="1" applyAlignment="1">
      <alignment horizontal="left" vertical="center" wrapText="1"/>
    </xf>
    <xf numFmtId="164" fontId="22" fillId="6" borderId="23" xfId="0" applyNumberFormat="1" applyFont="1" applyFill="1" applyBorder="1" applyAlignment="1">
      <alignment horizontal="left" vertical="center" wrapText="1"/>
    </xf>
    <xf numFmtId="164" fontId="22" fillId="6" borderId="25" xfId="0" applyNumberFormat="1" applyFont="1" applyFill="1" applyBorder="1" applyAlignment="1">
      <alignment horizontal="left" vertical="center" wrapText="1"/>
    </xf>
    <xf numFmtId="0" fontId="10" fillId="8" borderId="11" xfId="0" applyFont="1" applyFill="1" applyBorder="1" applyAlignment="1">
      <alignment horizontal="center" vertical="center" wrapText="1"/>
    </xf>
    <xf numFmtId="0" fontId="10" fillId="9" borderId="11" xfId="0" applyFont="1" applyFill="1" applyBorder="1" applyAlignment="1">
      <alignment horizontal="center" vertical="center" wrapText="1"/>
    </xf>
    <xf numFmtId="43" fontId="10" fillId="9" borderId="11" xfId="1" applyFont="1" applyFill="1" applyBorder="1" applyAlignment="1">
      <alignment horizontal="center" vertical="center" wrapText="1"/>
    </xf>
    <xf numFmtId="166" fontId="10" fillId="9" borderId="11" xfId="0" applyNumberFormat="1" applyFont="1" applyFill="1" applyBorder="1" applyAlignment="1">
      <alignment horizontal="center" vertical="center" wrapText="1"/>
    </xf>
    <xf numFmtId="0" fontId="28" fillId="5" borderId="11" xfId="0" applyFont="1" applyFill="1" applyBorder="1" applyAlignment="1">
      <alignment horizontal="left" vertical="center" wrapText="1"/>
    </xf>
    <xf numFmtId="0" fontId="9" fillId="4" borderId="11" xfId="0" applyFont="1" applyFill="1" applyBorder="1" applyAlignment="1">
      <alignment horizontal="center" vertical="center" wrapText="1"/>
    </xf>
    <xf numFmtId="0" fontId="9" fillId="10" borderId="11" xfId="0" applyFont="1" applyFill="1" applyBorder="1" applyAlignment="1">
      <alignment horizontal="center" vertical="center"/>
    </xf>
    <xf numFmtId="0" fontId="9" fillId="7" borderId="11" xfId="0" applyFont="1" applyFill="1" applyBorder="1" applyAlignment="1">
      <alignment horizontal="left" vertical="center" wrapText="1"/>
    </xf>
    <xf numFmtId="0" fontId="61" fillId="11" borderId="11" xfId="0" applyFont="1" applyFill="1" applyBorder="1" applyAlignment="1">
      <alignment horizontal="left" vertical="top" wrapText="1"/>
    </xf>
    <xf numFmtId="0" fontId="57" fillId="0" borderId="11" xfId="0" applyFont="1" applyBorder="1" applyAlignment="1">
      <alignment horizontal="center" vertical="center" wrapText="1"/>
    </xf>
    <xf numFmtId="0" fontId="11" fillId="9" borderId="11" xfId="0" applyFont="1" applyFill="1" applyBorder="1" applyAlignment="1">
      <alignment horizontal="left" vertical="center" wrapText="1"/>
    </xf>
    <xf numFmtId="0" fontId="10" fillId="4" borderId="11" xfId="0" applyFont="1" applyFill="1" applyBorder="1" applyAlignment="1">
      <alignment horizontal="center" vertical="center" wrapText="1"/>
    </xf>
    <xf numFmtId="0" fontId="26" fillId="2" borderId="40" xfId="0" applyFont="1" applyFill="1" applyBorder="1" applyAlignment="1">
      <alignment horizontal="center" vertical="center" wrapText="1"/>
    </xf>
    <xf numFmtId="0" fontId="26" fillId="2" borderId="0" xfId="0" applyFont="1" applyFill="1" applyBorder="1" applyAlignment="1">
      <alignment horizontal="center" vertical="center" wrapText="1"/>
    </xf>
    <xf numFmtId="0" fontId="0" fillId="0" borderId="23" xfId="0" applyBorder="1" applyAlignment="1">
      <alignment horizontal="center" vertical="top"/>
    </xf>
    <xf numFmtId="0" fontId="0" fillId="0" borderId="7" xfId="0" applyBorder="1" applyAlignment="1">
      <alignment horizontal="center" vertical="top"/>
    </xf>
    <xf numFmtId="0" fontId="0" fillId="0" borderId="25" xfId="0" applyBorder="1" applyAlignment="1">
      <alignment horizontal="center" vertical="top"/>
    </xf>
    <xf numFmtId="166" fontId="14" fillId="0" borderId="36" xfId="1" applyNumberFormat="1" applyFont="1" applyFill="1" applyBorder="1" applyAlignment="1">
      <alignment horizontal="center" vertical="center" wrapText="1"/>
    </xf>
    <xf numFmtId="166" fontId="14" fillId="0" borderId="61" xfId="1" applyNumberFormat="1" applyFont="1" applyFill="1" applyBorder="1" applyAlignment="1">
      <alignment horizontal="center" vertical="center" wrapText="1"/>
    </xf>
    <xf numFmtId="0" fontId="5" fillId="0" borderId="53" xfId="2" applyFont="1" applyFill="1" applyBorder="1" applyAlignment="1">
      <alignment horizontal="center" vertical="center" wrapText="1"/>
    </xf>
    <xf numFmtId="0" fontId="5" fillId="0" borderId="37" xfId="2" applyFont="1" applyFill="1" applyBorder="1" applyAlignment="1">
      <alignment horizontal="center" vertical="center" wrapText="1"/>
    </xf>
    <xf numFmtId="0" fontId="5" fillId="0" borderId="54" xfId="2" applyFont="1" applyFill="1" applyBorder="1" applyAlignment="1">
      <alignment horizontal="center" vertical="center" wrapText="1"/>
    </xf>
    <xf numFmtId="164" fontId="4" fillId="0" borderId="19" xfId="2" applyNumberFormat="1" applyFont="1" applyFill="1" applyBorder="1" applyAlignment="1">
      <alignment horizontal="center" vertical="center" wrapText="1"/>
    </xf>
    <xf numFmtId="0" fontId="4" fillId="0" borderId="49" xfId="2" applyFont="1" applyFill="1" applyBorder="1" applyAlignment="1">
      <alignment horizontal="center" vertical="center" wrapText="1"/>
    </xf>
    <xf numFmtId="0" fontId="4" fillId="0" borderId="16" xfId="2" applyFont="1" applyFill="1" applyBorder="1" applyAlignment="1">
      <alignment horizontal="center" vertical="center" wrapText="1"/>
    </xf>
    <xf numFmtId="0" fontId="4" fillId="0" borderId="33" xfId="2" applyFont="1" applyFill="1" applyBorder="1" applyAlignment="1">
      <alignment horizontal="center" vertical="center" wrapText="1"/>
    </xf>
    <xf numFmtId="0" fontId="10" fillId="0" borderId="49" xfId="0" applyFont="1" applyFill="1" applyBorder="1" applyAlignment="1">
      <alignment horizontal="center" vertical="center" wrapText="1"/>
    </xf>
    <xf numFmtId="0" fontId="10" fillId="0" borderId="33" xfId="0" applyFont="1" applyFill="1" applyBorder="1" applyAlignment="1">
      <alignment horizontal="center" vertical="center" wrapText="1"/>
    </xf>
    <xf numFmtId="0" fontId="14" fillId="0" borderId="16" xfId="0" applyFont="1" applyFill="1" applyBorder="1" applyAlignment="1">
      <alignment horizontal="center" vertical="center" wrapText="1"/>
    </xf>
    <xf numFmtId="0" fontId="14" fillId="0" borderId="11" xfId="0" applyFont="1" applyFill="1" applyBorder="1" applyAlignment="1">
      <alignment horizontal="center" vertical="center" wrapText="1"/>
    </xf>
    <xf numFmtId="2" fontId="24" fillId="0" borderId="16" xfId="5" applyNumberFormat="1" applyFont="1" applyFill="1" applyBorder="1" applyAlignment="1">
      <alignment vertical="center" wrapText="1"/>
    </xf>
    <xf numFmtId="2" fontId="24" fillId="0" borderId="11" xfId="5" applyNumberFormat="1" applyFont="1" applyFill="1" applyBorder="1" applyAlignment="1">
      <alignment vertical="center" wrapText="1"/>
    </xf>
    <xf numFmtId="43" fontId="25" fillId="0" borderId="16" xfId="1" applyFont="1" applyFill="1" applyBorder="1" applyAlignment="1">
      <alignment horizontal="center" vertical="center" wrapText="1"/>
    </xf>
    <xf numFmtId="43" fontId="25" fillId="0" borderId="11" xfId="1" applyFont="1" applyFill="1" applyBorder="1" applyAlignment="1">
      <alignment horizontal="center" vertical="center" wrapText="1"/>
    </xf>
    <xf numFmtId="43" fontId="24" fillId="0" borderId="17" xfId="1" applyFont="1" applyFill="1" applyBorder="1" applyAlignment="1">
      <alignment horizontal="center" vertical="center" wrapText="1"/>
    </xf>
    <xf numFmtId="43" fontId="24" fillId="0" borderId="12" xfId="1" applyFont="1" applyFill="1" applyBorder="1" applyAlignment="1">
      <alignment horizontal="center" vertical="center" wrapText="1"/>
    </xf>
    <xf numFmtId="2" fontId="14" fillId="0" borderId="16" xfId="0" applyNumberFormat="1" applyFont="1" applyFill="1" applyBorder="1" applyAlignment="1">
      <alignment horizontal="center" vertical="center" wrapText="1"/>
    </xf>
    <xf numFmtId="2" fontId="14" fillId="0" borderId="11" xfId="0" applyNumberFormat="1" applyFont="1" applyFill="1" applyBorder="1" applyAlignment="1">
      <alignment horizontal="center" vertical="center" wrapText="1"/>
    </xf>
    <xf numFmtId="14" fontId="14" fillId="0" borderId="16" xfId="0" applyNumberFormat="1" applyFont="1" applyFill="1" applyBorder="1" applyAlignment="1">
      <alignment horizontal="center" vertical="center" wrapText="1"/>
    </xf>
    <xf numFmtId="14" fontId="14" fillId="0" borderId="11" xfId="0" applyNumberFormat="1" applyFont="1" applyFill="1" applyBorder="1" applyAlignment="1">
      <alignment horizontal="center" vertical="center" wrapText="1"/>
    </xf>
    <xf numFmtId="166" fontId="10" fillId="0" borderId="52" xfId="1" applyNumberFormat="1" applyFont="1" applyFill="1" applyBorder="1" applyAlignment="1">
      <alignment horizontal="center" vertical="center" wrapText="1"/>
    </xf>
    <xf numFmtId="166" fontId="10" fillId="0" borderId="32" xfId="1" applyNumberFormat="1" applyFont="1" applyFill="1" applyBorder="1" applyAlignment="1">
      <alignment horizontal="center" vertical="center" wrapText="1"/>
    </xf>
    <xf numFmtId="43" fontId="14" fillId="0" borderId="15" xfId="1" applyFont="1" applyFill="1" applyBorder="1" applyAlignment="1">
      <alignment horizontal="center" vertical="center" wrapText="1"/>
    </xf>
    <xf numFmtId="43" fontId="14" fillId="0" borderId="13" xfId="1" applyFont="1" applyFill="1" applyBorder="1" applyAlignment="1">
      <alignment horizontal="center" vertical="center" wrapText="1"/>
    </xf>
    <xf numFmtId="166" fontId="14" fillId="0" borderId="60" xfId="1" applyNumberFormat="1" applyFont="1" applyFill="1" applyBorder="1" applyAlignment="1">
      <alignment horizontal="center" vertical="center" wrapText="1"/>
    </xf>
    <xf numFmtId="166" fontId="14" fillId="0" borderId="26" xfId="1" applyNumberFormat="1" applyFont="1" applyFill="1" applyBorder="1" applyAlignment="1">
      <alignment horizontal="center" vertical="center" wrapText="1"/>
    </xf>
    <xf numFmtId="166" fontId="10" fillId="0" borderId="24" xfId="1" applyNumberFormat="1" applyFont="1" applyFill="1" applyBorder="1" applyAlignment="1">
      <alignment horizontal="center" vertical="center" wrapText="1"/>
    </xf>
    <xf numFmtId="166" fontId="10" fillId="0" borderId="26" xfId="1" applyNumberFormat="1" applyFont="1" applyFill="1" applyBorder="1" applyAlignment="1">
      <alignment horizontal="center" vertical="center" wrapText="1"/>
    </xf>
    <xf numFmtId="0" fontId="5" fillId="0" borderId="49" xfId="2" applyFont="1" applyFill="1" applyBorder="1" applyAlignment="1">
      <alignment horizontal="center" vertical="center" wrapText="1"/>
    </xf>
    <xf numFmtId="0" fontId="5" fillId="0" borderId="16" xfId="2" applyFont="1" applyFill="1" applyBorder="1" applyAlignment="1">
      <alignment horizontal="center" vertical="center" wrapText="1"/>
    </xf>
    <xf numFmtId="0" fontId="5" fillId="0" borderId="52" xfId="2" applyFont="1" applyFill="1" applyBorder="1" applyAlignment="1">
      <alignment horizontal="center" vertical="center" wrapText="1"/>
    </xf>
    <xf numFmtId="0" fontId="10" fillId="0" borderId="45" xfId="0" applyFont="1" applyFill="1" applyBorder="1" applyAlignment="1">
      <alignment horizontal="center" vertical="center" wrapText="1"/>
    </xf>
    <xf numFmtId="0" fontId="10" fillId="0" borderId="41" xfId="0" applyFont="1" applyFill="1" applyBorder="1" applyAlignment="1">
      <alignment horizontal="center" vertical="center" wrapText="1"/>
    </xf>
    <xf numFmtId="0" fontId="14" fillId="0" borderId="23" xfId="0" applyFont="1" applyFill="1" applyBorder="1" applyAlignment="1">
      <alignment horizontal="center" vertical="center" wrapText="1"/>
    </xf>
    <xf numFmtId="0" fontId="14" fillId="0" borderId="25" xfId="0" applyFont="1" applyFill="1" applyBorder="1" applyAlignment="1">
      <alignment horizontal="center" vertical="center" wrapText="1"/>
    </xf>
    <xf numFmtId="2" fontId="24" fillId="0" borderId="23" xfId="5" applyNumberFormat="1" applyFont="1" applyFill="1" applyBorder="1" applyAlignment="1">
      <alignment horizontal="left" vertical="center" wrapText="1"/>
    </xf>
    <xf numFmtId="2" fontId="24" fillId="0" borderId="25" xfId="5" applyNumberFormat="1" applyFont="1" applyFill="1" applyBorder="1" applyAlignment="1">
      <alignment horizontal="left" vertical="center" wrapText="1"/>
    </xf>
    <xf numFmtId="43" fontId="25" fillId="0" borderId="23" xfId="1" applyFont="1" applyFill="1" applyBorder="1" applyAlignment="1">
      <alignment horizontal="center" vertical="center" wrapText="1"/>
    </xf>
    <xf numFmtId="43" fontId="0" fillId="0" borderId="25" xfId="1" applyFont="1" applyFill="1" applyBorder="1" applyAlignment="1">
      <alignment horizontal="center" vertical="center" wrapText="1"/>
    </xf>
    <xf numFmtId="0" fontId="20" fillId="0" borderId="13" xfId="0" applyFont="1" applyBorder="1" applyAlignment="1">
      <alignment horizontal="center" vertical="center" wrapText="1"/>
    </xf>
    <xf numFmtId="166" fontId="4" fillId="0" borderId="19" xfId="1" applyNumberFormat="1" applyFont="1" applyFill="1" applyBorder="1" applyAlignment="1">
      <alignment horizontal="center" vertical="center" wrapText="1"/>
    </xf>
    <xf numFmtId="166" fontId="4" fillId="0" borderId="52" xfId="1" applyNumberFormat="1" applyFont="1" applyFill="1" applyBorder="1" applyAlignment="1">
      <alignment horizontal="center" vertical="center" wrapText="1"/>
    </xf>
    <xf numFmtId="166" fontId="4" fillId="0" borderId="32" xfId="1" applyNumberFormat="1" applyFont="1" applyFill="1" applyBorder="1" applyAlignment="1">
      <alignment horizontal="center" vertical="center" wrapText="1"/>
    </xf>
    <xf numFmtId="0" fontId="10" fillId="0" borderId="46" xfId="0" applyFont="1" applyFill="1" applyBorder="1" applyAlignment="1">
      <alignment horizontal="center" vertical="center" wrapText="1"/>
    </xf>
    <xf numFmtId="0" fontId="36" fillId="0" borderId="23" xfId="3" applyFont="1" applyFill="1" applyBorder="1" applyAlignment="1">
      <alignment horizontal="center" vertical="center"/>
    </xf>
    <xf numFmtId="0" fontId="36" fillId="0" borderId="7" xfId="3" applyFont="1" applyFill="1" applyBorder="1" applyAlignment="1">
      <alignment horizontal="center" vertical="center"/>
    </xf>
    <xf numFmtId="0" fontId="36" fillId="0" borderId="25" xfId="3" applyFont="1" applyFill="1" applyBorder="1" applyAlignment="1">
      <alignment horizontal="center" vertical="center"/>
    </xf>
    <xf numFmtId="2" fontId="24" fillId="0" borderId="23" xfId="5" applyNumberFormat="1" applyFont="1" applyFill="1" applyBorder="1" applyAlignment="1">
      <alignment horizontal="center" vertical="center" wrapText="1"/>
    </xf>
    <xf numFmtId="2" fontId="24" fillId="0" borderId="7" xfId="5" applyNumberFormat="1" applyFont="1" applyFill="1" applyBorder="1" applyAlignment="1">
      <alignment horizontal="center" vertical="center" wrapText="1"/>
    </xf>
    <xf numFmtId="2" fontId="24" fillId="0" borderId="25" xfId="5" applyNumberFormat="1" applyFont="1" applyFill="1" applyBorder="1" applyAlignment="1">
      <alignment horizontal="center" vertical="center" wrapText="1"/>
    </xf>
    <xf numFmtId="43" fontId="25" fillId="0" borderId="7" xfId="1" applyFont="1" applyFill="1" applyBorder="1" applyAlignment="1">
      <alignment horizontal="center" vertical="center" wrapText="1"/>
    </xf>
    <xf numFmtId="43" fontId="25" fillId="0" borderId="25" xfId="1" applyFont="1" applyFill="1" applyBorder="1" applyAlignment="1">
      <alignment horizontal="center" vertical="center" wrapText="1"/>
    </xf>
    <xf numFmtId="43" fontId="24" fillId="0" borderId="24" xfId="1" applyFont="1" applyFill="1" applyBorder="1" applyAlignment="1">
      <alignment horizontal="center" vertical="center" wrapText="1"/>
    </xf>
    <xf numFmtId="43" fontId="24" fillId="0" borderId="9" xfId="1" applyFont="1" applyFill="1" applyBorder="1" applyAlignment="1">
      <alignment horizontal="center" vertical="center" wrapText="1"/>
    </xf>
    <xf numFmtId="43" fontId="24" fillId="0" borderId="26" xfId="1" applyFont="1" applyFill="1" applyBorder="1" applyAlignment="1">
      <alignment horizontal="center" vertical="center" wrapText="1"/>
    </xf>
    <xf numFmtId="2" fontId="14" fillId="0" borderId="30" xfId="0" applyNumberFormat="1" applyFont="1" applyFill="1" applyBorder="1" applyAlignment="1">
      <alignment horizontal="center" vertical="center" wrapText="1"/>
    </xf>
    <xf numFmtId="2" fontId="14" fillId="0" borderId="13" xfId="0" applyNumberFormat="1" applyFont="1" applyFill="1" applyBorder="1" applyAlignment="1">
      <alignment horizontal="center" vertical="center" wrapText="1"/>
    </xf>
    <xf numFmtId="43" fontId="12" fillId="0" borderId="47" xfId="1" applyFont="1" applyFill="1" applyBorder="1" applyAlignment="1">
      <alignment horizontal="center" vertical="center" wrapText="1"/>
    </xf>
    <xf numFmtId="43" fontId="12" fillId="0" borderId="13" xfId="1" applyFont="1" applyFill="1" applyBorder="1" applyAlignment="1">
      <alignment horizontal="center" vertical="center" wrapText="1"/>
    </xf>
    <xf numFmtId="2" fontId="14" fillId="0" borderId="23" xfId="0" applyNumberFormat="1" applyFont="1" applyFill="1" applyBorder="1" applyAlignment="1">
      <alignment horizontal="center" vertical="center" wrapText="1"/>
    </xf>
    <xf numFmtId="2" fontId="14" fillId="0" borderId="25" xfId="0" applyNumberFormat="1" applyFont="1" applyFill="1" applyBorder="1" applyAlignment="1">
      <alignment horizontal="center" vertical="center" wrapText="1"/>
    </xf>
    <xf numFmtId="2" fontId="14" fillId="0" borderId="42" xfId="0" applyNumberFormat="1" applyFont="1" applyFill="1" applyBorder="1" applyAlignment="1">
      <alignment horizontal="center" vertical="center" wrapText="1"/>
    </xf>
    <xf numFmtId="2" fontId="14" fillId="0" borderId="43" xfId="0" applyNumberFormat="1" applyFont="1" applyFill="1" applyBorder="1" applyAlignment="1">
      <alignment horizontal="center" vertical="center" wrapText="1"/>
    </xf>
    <xf numFmtId="2" fontId="14" fillId="0" borderId="45" xfId="0" applyNumberFormat="1" applyFont="1" applyFill="1" applyBorder="1" applyAlignment="1">
      <alignment horizontal="center" vertical="center" wrapText="1"/>
    </xf>
    <xf numFmtId="2" fontId="14" fillId="0" borderId="41" xfId="0" applyNumberFormat="1" applyFont="1" applyFill="1" applyBorder="1" applyAlignment="1">
      <alignment horizontal="center" vertical="center" wrapText="1"/>
    </xf>
    <xf numFmtId="2" fontId="14" fillId="0" borderId="22" xfId="0" applyNumberFormat="1" applyFont="1" applyFill="1" applyBorder="1" applyAlignment="1">
      <alignment horizontal="center" vertical="center" wrapText="1"/>
    </xf>
    <xf numFmtId="2" fontId="14" fillId="0" borderId="27" xfId="0" applyNumberFormat="1" applyFont="1" applyFill="1" applyBorder="1" applyAlignment="1">
      <alignment horizontal="center" vertical="center" wrapText="1"/>
    </xf>
    <xf numFmtId="166" fontId="14" fillId="0" borderId="12" xfId="1" applyNumberFormat="1" applyFont="1" applyFill="1" applyBorder="1" applyAlignment="1">
      <alignment horizontal="center" vertical="center" wrapText="1"/>
    </xf>
    <xf numFmtId="0" fontId="16" fillId="0" borderId="47" xfId="0" applyFont="1" applyFill="1" applyBorder="1" applyAlignment="1">
      <alignment horizontal="center" vertical="center" wrapText="1"/>
    </xf>
    <xf numFmtId="0" fontId="16" fillId="0" borderId="13"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6" fillId="0" borderId="47" xfId="0" applyFont="1" applyFill="1" applyBorder="1" applyAlignment="1">
      <alignment horizontal="center" vertical="center"/>
    </xf>
    <xf numFmtId="0" fontId="16" fillId="0" borderId="13" xfId="0" applyFont="1" applyFill="1" applyBorder="1" applyAlignment="1">
      <alignment horizontal="center" vertical="center"/>
    </xf>
    <xf numFmtId="166" fontId="10" fillId="0" borderId="12" xfId="1" applyNumberFormat="1" applyFont="1" applyFill="1" applyBorder="1" applyAlignment="1">
      <alignment horizontal="center" vertical="center" wrapText="1"/>
    </xf>
    <xf numFmtId="0" fontId="14" fillId="0" borderId="7" xfId="0" applyFont="1" applyFill="1" applyBorder="1" applyAlignment="1">
      <alignment horizontal="center" vertical="center" wrapText="1"/>
    </xf>
    <xf numFmtId="2" fontId="24" fillId="0" borderId="7" xfId="5" applyNumberFormat="1" applyFont="1" applyFill="1" applyBorder="1" applyAlignment="1">
      <alignment horizontal="left" vertical="center" wrapText="1"/>
    </xf>
    <xf numFmtId="173" fontId="10" fillId="0" borderId="12" xfId="1" applyNumberFormat="1" applyFont="1" applyFill="1" applyBorder="1" applyAlignment="1">
      <alignment horizontal="center" vertical="center" wrapText="1"/>
    </xf>
    <xf numFmtId="43" fontId="9" fillId="0" borderId="23" xfId="1" applyFont="1" applyFill="1" applyBorder="1" applyAlignment="1">
      <alignment horizontal="center" vertical="center"/>
    </xf>
    <xf numFmtId="43" fontId="9" fillId="0" borderId="25" xfId="1" applyFont="1" applyFill="1" applyBorder="1" applyAlignment="1">
      <alignment horizontal="center" vertical="center"/>
    </xf>
    <xf numFmtId="0" fontId="10" fillId="0" borderId="30" xfId="0" applyFont="1" applyFill="1" applyBorder="1" applyAlignment="1">
      <alignment horizontal="center" vertical="center" wrapText="1"/>
    </xf>
    <xf numFmtId="0" fontId="37" fillId="0" borderId="30" xfId="0" applyFont="1" applyFill="1" applyBorder="1" applyAlignment="1">
      <alignment horizontal="center" vertical="center" wrapText="1"/>
    </xf>
    <xf numFmtId="0" fontId="37" fillId="0" borderId="11" xfId="0" applyFont="1" applyFill="1" applyBorder="1" applyAlignment="1">
      <alignment horizontal="center" vertical="center" wrapText="1"/>
    </xf>
    <xf numFmtId="43" fontId="37" fillId="0" borderId="11" xfId="1" applyFont="1" applyFill="1" applyBorder="1" applyAlignment="1">
      <alignment horizontal="center" vertical="center"/>
    </xf>
    <xf numFmtId="43" fontId="14" fillId="0" borderId="29" xfId="1" applyFont="1" applyFill="1" applyBorder="1" applyAlignment="1">
      <alignment horizontal="center" vertical="center" wrapText="1"/>
    </xf>
    <xf numFmtId="43" fontId="14" fillId="0" borderId="31" xfId="1" applyFont="1" applyFill="1" applyBorder="1" applyAlignment="1">
      <alignment horizontal="center" vertical="center" wrapText="1"/>
    </xf>
    <xf numFmtId="43" fontId="0" fillId="0" borderId="7" xfId="1" applyFont="1" applyFill="1" applyBorder="1" applyAlignment="1">
      <alignment horizontal="center" vertical="center" wrapText="1"/>
    </xf>
    <xf numFmtId="43" fontId="14" fillId="0" borderId="22" xfId="1" applyFont="1" applyFill="1" applyBorder="1" applyAlignment="1">
      <alignment horizontal="center" vertical="center" wrapText="1"/>
    </xf>
    <xf numFmtId="43" fontId="14" fillId="0" borderId="27" xfId="1" applyFont="1" applyFill="1" applyBorder="1" applyAlignment="1">
      <alignment horizontal="center" vertical="center" wrapText="1"/>
    </xf>
    <xf numFmtId="0" fontId="10" fillId="0" borderId="23" xfId="0" applyFont="1" applyFill="1" applyBorder="1" applyAlignment="1">
      <alignment horizontal="center" vertical="center" wrapText="1"/>
    </xf>
    <xf numFmtId="0" fontId="10" fillId="0" borderId="25" xfId="0" applyFont="1" applyFill="1" applyBorder="1" applyAlignment="1">
      <alignment horizontal="center" vertical="center" wrapText="1"/>
    </xf>
    <xf numFmtId="166" fontId="10" fillId="0" borderId="36" xfId="1" applyNumberFormat="1" applyFont="1" applyFill="1" applyBorder="1" applyAlignment="1">
      <alignment horizontal="center" vertical="center" wrapText="1"/>
    </xf>
    <xf numFmtId="166" fontId="10" fillId="0" borderId="38" xfId="1" applyNumberFormat="1" applyFont="1" applyFill="1" applyBorder="1" applyAlignment="1">
      <alignment horizontal="center" vertical="center" wrapText="1"/>
    </xf>
    <xf numFmtId="0" fontId="10" fillId="0" borderId="19" xfId="0" applyFont="1" applyFill="1" applyBorder="1" applyAlignment="1">
      <alignment horizontal="center" vertical="center" wrapText="1"/>
    </xf>
    <xf numFmtId="43" fontId="14" fillId="0" borderId="42" xfId="1" applyFont="1" applyFill="1" applyBorder="1" applyAlignment="1">
      <alignment horizontal="center" vertical="center" wrapText="1"/>
    </xf>
    <xf numFmtId="43" fontId="14" fillId="0" borderId="43" xfId="1" applyFont="1" applyFill="1" applyBorder="1" applyAlignment="1">
      <alignment horizontal="center" vertical="center" wrapText="1"/>
    </xf>
    <xf numFmtId="43" fontId="0" fillId="0" borderId="26" xfId="1" applyFont="1" applyFill="1" applyBorder="1" applyAlignment="1">
      <alignment horizontal="center" vertical="center" wrapText="1"/>
    </xf>
    <xf numFmtId="166" fontId="14" fillId="0" borderId="32" xfId="1" applyNumberFormat="1" applyFont="1" applyFill="1" applyBorder="1" applyAlignment="1">
      <alignment horizontal="center" vertical="center" wrapText="1"/>
    </xf>
    <xf numFmtId="43" fontId="14" fillId="0" borderId="30" xfId="1" applyFont="1" applyFill="1" applyBorder="1" applyAlignment="1">
      <alignment horizontal="center" vertical="center" wrapText="1"/>
    </xf>
    <xf numFmtId="2" fontId="24" fillId="0" borderId="11" xfId="5" applyNumberFormat="1" applyFont="1" applyFill="1" applyBorder="1" applyAlignment="1">
      <alignment horizontal="left" vertical="center" wrapText="1"/>
    </xf>
    <xf numFmtId="43" fontId="14" fillId="0" borderId="33" xfId="1" applyFont="1" applyFill="1" applyBorder="1" applyAlignment="1">
      <alignment horizontal="center" vertical="center" wrapText="1"/>
    </xf>
    <xf numFmtId="0" fontId="16" fillId="0" borderId="44" xfId="0" applyFont="1" applyFill="1" applyBorder="1" applyAlignment="1">
      <alignment horizontal="center" vertical="center" wrapText="1"/>
    </xf>
    <xf numFmtId="0" fontId="16" fillId="0" borderId="22" xfId="0" applyFont="1" applyFill="1" applyBorder="1" applyAlignment="1">
      <alignment horizontal="center" vertical="center" wrapText="1"/>
    </xf>
    <xf numFmtId="43" fontId="25" fillId="0" borderId="24" xfId="1" applyFont="1" applyFill="1" applyBorder="1" applyAlignment="1">
      <alignment horizontal="center" vertical="center" wrapText="1"/>
    </xf>
    <xf numFmtId="43" fontId="25" fillId="0" borderId="26" xfId="1" applyFont="1" applyFill="1" applyBorder="1" applyAlignment="1">
      <alignment horizontal="center" vertical="center" wrapText="1"/>
    </xf>
    <xf numFmtId="2" fontId="14" fillId="0" borderId="33" xfId="0" applyNumberFormat="1" applyFont="1" applyFill="1" applyBorder="1" applyAlignment="1">
      <alignment horizontal="center" vertical="center" wrapText="1"/>
    </xf>
    <xf numFmtId="1" fontId="10" fillId="0" borderId="45" xfId="0" applyNumberFormat="1" applyFont="1" applyFill="1" applyBorder="1" applyAlignment="1">
      <alignment horizontal="center" vertical="center" wrapText="1"/>
    </xf>
    <xf numFmtId="1" fontId="10" fillId="0" borderId="46" xfId="0" applyNumberFormat="1" applyFont="1" applyFill="1" applyBorder="1" applyAlignment="1">
      <alignment horizontal="center" vertical="center" wrapText="1"/>
    </xf>
    <xf numFmtId="0" fontId="12" fillId="0" borderId="23" xfId="5" applyFont="1" applyFill="1" applyBorder="1" applyAlignment="1">
      <alignment horizontal="center" vertical="center" wrapText="1"/>
    </xf>
    <xf numFmtId="0" fontId="12" fillId="0" borderId="7" xfId="5" applyFont="1" applyFill="1" applyBorder="1" applyAlignment="1">
      <alignment horizontal="center" vertical="center" wrapText="1"/>
    </xf>
    <xf numFmtId="166" fontId="24" fillId="0" borderId="11" xfId="1" applyNumberFormat="1" applyFont="1" applyFill="1" applyBorder="1" applyAlignment="1">
      <alignment horizontal="center" vertical="center" wrapText="1"/>
    </xf>
    <xf numFmtId="166" fontId="10" fillId="6" borderId="12" xfId="1" applyNumberFormat="1" applyFont="1" applyFill="1" applyBorder="1" applyAlignment="1">
      <alignment horizontal="center" vertical="center" wrapText="1"/>
    </xf>
    <xf numFmtId="166" fontId="14" fillId="0" borderId="38" xfId="1" applyNumberFormat="1" applyFont="1" applyFill="1" applyBorder="1" applyAlignment="1">
      <alignment horizontal="center" vertical="center" wrapText="1"/>
    </xf>
    <xf numFmtId="166" fontId="14" fillId="0" borderId="24" xfId="1" applyNumberFormat="1" applyFont="1" applyFill="1" applyBorder="1" applyAlignment="1">
      <alignment horizontal="center" vertical="center" wrapText="1"/>
    </xf>
    <xf numFmtId="164" fontId="22" fillId="6" borderId="50" xfId="0" applyNumberFormat="1" applyFont="1" applyFill="1" applyBorder="1" applyAlignment="1">
      <alignment horizontal="left" vertical="center" wrapText="1"/>
    </xf>
    <xf numFmtId="0" fontId="10" fillId="4" borderId="33" xfId="0" applyFont="1" applyFill="1" applyBorder="1" applyAlignment="1">
      <alignment horizontal="center" vertical="center" wrapText="1"/>
    </xf>
    <xf numFmtId="166" fontId="10" fillId="6" borderId="3" xfId="1" applyNumberFormat="1" applyFont="1" applyFill="1" applyBorder="1" applyAlignment="1">
      <alignment horizontal="center" vertical="center" wrapText="1"/>
    </xf>
    <xf numFmtId="0" fontId="10" fillId="6" borderId="13" xfId="0" applyFont="1" applyFill="1" applyBorder="1" applyAlignment="1">
      <alignment horizontal="center" vertical="center" wrapText="1"/>
    </xf>
    <xf numFmtId="0" fontId="10" fillId="4" borderId="19" xfId="0" applyFont="1" applyFill="1" applyBorder="1" applyAlignment="1">
      <alignment horizontal="left" vertical="center" wrapText="1"/>
    </xf>
    <xf numFmtId="0" fontId="10" fillId="4" borderId="30" xfId="0" applyFont="1" applyFill="1" applyBorder="1" applyAlignment="1">
      <alignment horizontal="left" vertical="center" wrapText="1"/>
    </xf>
    <xf numFmtId="0" fontId="10" fillId="4" borderId="13" xfId="0" applyFont="1" applyFill="1" applyBorder="1" applyAlignment="1">
      <alignment horizontal="left" vertical="center" wrapText="1"/>
    </xf>
    <xf numFmtId="0" fontId="9" fillId="7" borderId="11" xfId="0" applyFont="1" applyFill="1" applyBorder="1" applyAlignment="1">
      <alignment horizontal="center" vertical="center"/>
    </xf>
    <xf numFmtId="0" fontId="10" fillId="8" borderId="23" xfId="0" applyFont="1" applyFill="1" applyBorder="1" applyAlignment="1">
      <alignment horizontal="left" vertical="center" wrapText="1"/>
    </xf>
    <xf numFmtId="0" fontId="10" fillId="8" borderId="25" xfId="0" applyFont="1" applyFill="1" applyBorder="1" applyAlignment="1">
      <alignment horizontal="left" vertical="center" wrapText="1"/>
    </xf>
    <xf numFmtId="0" fontId="10" fillId="8" borderId="23" xfId="0" applyFont="1" applyFill="1" applyBorder="1" applyAlignment="1">
      <alignment horizontal="center" vertical="center" wrapText="1"/>
    </xf>
    <xf numFmtId="0" fontId="10" fillId="8" borderId="25" xfId="0" applyFont="1" applyFill="1" applyBorder="1" applyAlignment="1">
      <alignment horizontal="center" vertical="center" wrapText="1"/>
    </xf>
    <xf numFmtId="0" fontId="39" fillId="5" borderId="1" xfId="0" applyFont="1" applyFill="1" applyBorder="1" applyAlignment="1">
      <alignment horizontal="center" vertical="center"/>
    </xf>
    <xf numFmtId="0" fontId="39" fillId="5" borderId="2" xfId="0" applyFont="1" applyFill="1" applyBorder="1" applyAlignment="1">
      <alignment horizontal="center" vertical="center"/>
    </xf>
    <xf numFmtId="0" fontId="39" fillId="5" borderId="3" xfId="0" applyFont="1" applyFill="1" applyBorder="1" applyAlignment="1">
      <alignment horizontal="center" vertical="center"/>
    </xf>
    <xf numFmtId="0" fontId="39" fillId="5" borderId="10" xfId="0" applyFont="1" applyFill="1" applyBorder="1" applyAlignment="1">
      <alignment horizontal="center" vertical="center"/>
    </xf>
    <xf numFmtId="0" fontId="39" fillId="5" borderId="11" xfId="0" applyFont="1" applyFill="1" applyBorder="1" applyAlignment="1">
      <alignment horizontal="center" vertical="center"/>
    </xf>
    <xf numFmtId="0" fontId="39" fillId="5" borderId="12" xfId="0" applyFont="1" applyFill="1" applyBorder="1" applyAlignment="1">
      <alignment horizontal="center" vertical="center"/>
    </xf>
    <xf numFmtId="0" fontId="10" fillId="9" borderId="23" xfId="0" applyFont="1" applyFill="1" applyBorder="1" applyAlignment="1">
      <alignment horizontal="left" vertical="center" wrapText="1"/>
    </xf>
    <xf numFmtId="0" fontId="10" fillId="9" borderId="25" xfId="0" applyFont="1" applyFill="1" applyBorder="1" applyAlignment="1">
      <alignment horizontal="left" vertical="center" wrapText="1"/>
    </xf>
    <xf numFmtId="0" fontId="10" fillId="9" borderId="23" xfId="0" applyFont="1" applyFill="1" applyBorder="1" applyAlignment="1">
      <alignment horizontal="center" vertical="center" wrapText="1"/>
    </xf>
    <xf numFmtId="0" fontId="10" fillId="9" borderId="25"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0" borderId="34" xfId="0" applyFont="1" applyFill="1" applyBorder="1" applyAlignment="1">
      <alignment horizontal="center" vertical="center"/>
    </xf>
    <xf numFmtId="0" fontId="8" fillId="0" borderId="51" xfId="0" applyFont="1" applyFill="1" applyBorder="1" applyAlignment="1">
      <alignment horizontal="center" vertical="center"/>
    </xf>
    <xf numFmtId="0" fontId="8" fillId="0" borderId="48" xfId="0" applyFont="1" applyFill="1" applyBorder="1" applyAlignment="1">
      <alignment horizontal="center" vertical="center"/>
    </xf>
    <xf numFmtId="0" fontId="11" fillId="9" borderId="19" xfId="0" applyFont="1" applyFill="1" applyBorder="1" applyAlignment="1">
      <alignment horizontal="center" vertical="center" wrapText="1"/>
    </xf>
    <xf numFmtId="0" fontId="11" fillId="9" borderId="30" xfId="0" applyFont="1" applyFill="1" applyBorder="1" applyAlignment="1">
      <alignment horizontal="center" vertical="center" wrapText="1"/>
    </xf>
    <xf numFmtId="0" fontId="11" fillId="9" borderId="13" xfId="0" applyFont="1" applyFill="1" applyBorder="1" applyAlignment="1">
      <alignment horizontal="center" vertical="center" wrapText="1"/>
    </xf>
    <xf numFmtId="0" fontId="9" fillId="4" borderId="19" xfId="0" applyFont="1" applyFill="1" applyBorder="1" applyAlignment="1">
      <alignment horizontal="left" vertical="center" wrapText="1"/>
    </xf>
    <xf numFmtId="0" fontId="9" fillId="4" borderId="30" xfId="0" applyFont="1" applyFill="1" applyBorder="1" applyAlignment="1">
      <alignment horizontal="left" vertical="center" wrapText="1"/>
    </xf>
    <xf numFmtId="0" fontId="9" fillId="4" borderId="13" xfId="0" applyFont="1" applyFill="1" applyBorder="1" applyAlignment="1">
      <alignment horizontal="left" vertical="center" wrapText="1"/>
    </xf>
    <xf numFmtId="0" fontId="61" fillId="0" borderId="33" xfId="0" applyFont="1" applyBorder="1" applyAlignment="1">
      <alignment horizontal="center" vertical="center" wrapText="1"/>
    </xf>
    <xf numFmtId="0" fontId="61" fillId="0" borderId="11" xfId="0" applyFont="1" applyBorder="1" applyAlignment="1">
      <alignment horizontal="center" vertical="center" wrapText="1"/>
    </xf>
    <xf numFmtId="0" fontId="61" fillId="0" borderId="32" xfId="0" applyFont="1" applyBorder="1" applyAlignment="1">
      <alignment horizontal="center" vertical="center" wrapText="1"/>
    </xf>
    <xf numFmtId="0" fontId="78" fillId="2" borderId="0" xfId="0" applyFont="1" applyFill="1" applyBorder="1" applyAlignment="1">
      <alignment horizontal="center" vertical="center" wrapText="1"/>
    </xf>
    <xf numFmtId="0" fontId="4" fillId="2" borderId="49" xfId="0" applyFont="1" applyFill="1" applyBorder="1" applyAlignment="1">
      <alignment horizontal="center" vertical="center"/>
    </xf>
    <xf numFmtId="0" fontId="4" fillId="2" borderId="33" xfId="0" applyFont="1" applyFill="1" applyBorder="1" applyAlignment="1">
      <alignment horizontal="center" vertical="center"/>
    </xf>
    <xf numFmtId="0" fontId="4" fillId="2" borderId="16"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0" fillId="0" borderId="16" xfId="0" applyFont="1" applyBorder="1" applyAlignment="1">
      <alignment horizontal="center" vertical="center" wrapText="1"/>
    </xf>
    <xf numFmtId="0" fontId="40" fillId="0" borderId="52" xfId="0" applyFont="1" applyBorder="1" applyAlignment="1">
      <alignment horizontal="center" vertical="center" wrapText="1"/>
    </xf>
    <xf numFmtId="0" fontId="40" fillId="0" borderId="32" xfId="0" applyFont="1" applyBorder="1" applyAlignment="1">
      <alignment horizontal="center" vertical="center" wrapText="1"/>
    </xf>
    <xf numFmtId="0" fontId="41" fillId="12" borderId="33" xfId="0" applyFont="1" applyFill="1" applyBorder="1" applyAlignment="1">
      <alignment horizontal="center" vertical="center" wrapText="1"/>
    </xf>
    <xf numFmtId="0" fontId="41" fillId="12" borderId="11" xfId="0" applyFont="1" applyFill="1" applyBorder="1" applyAlignment="1">
      <alignment horizontal="center" vertical="center" wrapText="1"/>
    </xf>
    <xf numFmtId="0" fontId="41" fillId="12" borderId="55" xfId="0" applyFont="1" applyFill="1" applyBorder="1" applyAlignment="1">
      <alignment horizontal="center" vertical="center" wrapText="1"/>
    </xf>
    <xf numFmtId="0" fontId="41" fillId="12" borderId="35" xfId="0" applyFont="1" applyFill="1" applyBorder="1" applyAlignment="1">
      <alignment horizontal="center" vertical="center" wrapText="1"/>
    </xf>
    <xf numFmtId="0" fontId="61" fillId="12" borderId="35" xfId="0" applyFont="1" applyFill="1" applyBorder="1" applyAlignment="1">
      <alignment horizontal="center" vertical="center" wrapText="1"/>
    </xf>
    <xf numFmtId="0" fontId="68" fillId="0" borderId="11" xfId="0" applyFont="1" applyFill="1" applyBorder="1" applyAlignment="1">
      <alignment horizontal="center" vertical="center"/>
    </xf>
    <xf numFmtId="0" fontId="69" fillId="0" borderId="11" xfId="0" applyFont="1" applyFill="1" applyBorder="1" applyAlignment="1">
      <alignment horizontal="center" vertical="center" wrapText="1"/>
    </xf>
    <xf numFmtId="0" fontId="71" fillId="0" borderId="23" xfId="0" applyFont="1" applyFill="1" applyBorder="1" applyAlignment="1">
      <alignment horizontal="center" vertical="center" wrapText="1"/>
    </xf>
    <xf numFmtId="0" fontId="71" fillId="0" borderId="7" xfId="0" applyFont="1" applyFill="1" applyBorder="1" applyAlignment="1">
      <alignment horizontal="center" vertical="center" wrapText="1"/>
    </xf>
    <xf numFmtId="0" fontId="71" fillId="0" borderId="25" xfId="0" applyFont="1" applyFill="1" applyBorder="1" applyAlignment="1">
      <alignment horizontal="center" vertical="center" wrapText="1"/>
    </xf>
    <xf numFmtId="0" fontId="69" fillId="0" borderId="14" xfId="0" applyFont="1" applyFill="1" applyBorder="1" applyAlignment="1">
      <alignment horizontal="center" vertical="center" wrapText="1"/>
    </xf>
    <xf numFmtId="0" fontId="69" fillId="0" borderId="22" xfId="0" applyFont="1" applyFill="1" applyBorder="1" applyAlignment="1">
      <alignment horizontal="center" vertical="center" wrapText="1"/>
    </xf>
    <xf numFmtId="0" fontId="69" fillId="0" borderId="8" xfId="0" applyFont="1" applyFill="1" applyBorder="1" applyAlignment="1">
      <alignment horizontal="center" vertical="center" wrapText="1"/>
    </xf>
    <xf numFmtId="0" fontId="69" fillId="0" borderId="6" xfId="0" applyFont="1" applyFill="1" applyBorder="1" applyAlignment="1">
      <alignment horizontal="center" vertical="center" wrapText="1"/>
    </xf>
    <xf numFmtId="0" fontId="69" fillId="0" borderId="18" xfId="0" applyFont="1" applyFill="1" applyBorder="1" applyAlignment="1">
      <alignment horizontal="center" vertical="center" wrapText="1"/>
    </xf>
    <xf numFmtId="0" fontId="69" fillId="0" borderId="27" xfId="0" applyFont="1" applyFill="1" applyBorder="1" applyAlignment="1">
      <alignment horizontal="center" vertical="center" wrapText="1"/>
    </xf>
    <xf numFmtId="0" fontId="69" fillId="0" borderId="11" xfId="0" applyFont="1" applyFill="1" applyBorder="1" applyAlignment="1">
      <alignment horizontal="left" vertical="center" wrapText="1"/>
    </xf>
    <xf numFmtId="49" fontId="69" fillId="0" borderId="11" xfId="0" applyNumberFormat="1" applyFont="1" applyFill="1" applyBorder="1" applyAlignment="1">
      <alignment horizontal="center" vertical="center" wrapText="1"/>
    </xf>
    <xf numFmtId="0" fontId="68" fillId="0" borderId="23" xfId="0" applyFont="1" applyFill="1" applyBorder="1" applyAlignment="1">
      <alignment horizontal="center" vertical="center"/>
    </xf>
    <xf numFmtId="0" fontId="68" fillId="0" borderId="7" xfId="0" applyFont="1" applyFill="1" applyBorder="1" applyAlignment="1">
      <alignment horizontal="center" vertical="center"/>
    </xf>
    <xf numFmtId="0" fontId="68" fillId="0" borderId="25" xfId="0" applyFont="1" applyFill="1" applyBorder="1" applyAlignment="1">
      <alignment horizontal="center" vertical="center"/>
    </xf>
    <xf numFmtId="0" fontId="68" fillId="0" borderId="11" xfId="0" applyFont="1" applyFill="1" applyBorder="1" applyAlignment="1">
      <alignment horizontal="center" vertical="center" wrapText="1"/>
    </xf>
    <xf numFmtId="49" fontId="69" fillId="0" borderId="23" xfId="0" applyNumberFormat="1" applyFont="1" applyFill="1" applyBorder="1" applyAlignment="1">
      <alignment horizontal="center" vertical="center" wrapText="1"/>
    </xf>
    <xf numFmtId="49" fontId="69" fillId="0" borderId="7" xfId="0" applyNumberFormat="1" applyFont="1" applyFill="1" applyBorder="1" applyAlignment="1">
      <alignment horizontal="center" vertical="center" wrapText="1"/>
    </xf>
    <xf numFmtId="49" fontId="69" fillId="0" borderId="25" xfId="0" applyNumberFormat="1" applyFont="1" applyFill="1" applyBorder="1" applyAlignment="1">
      <alignment horizontal="center" vertical="center" wrapText="1"/>
    </xf>
    <xf numFmtId="0" fontId="62" fillId="0" borderId="11" xfId="7" applyFont="1" applyFill="1" applyBorder="1" applyAlignment="1">
      <alignment horizontal="center" vertical="center" wrapText="1"/>
    </xf>
    <xf numFmtId="0" fontId="71" fillId="0" borderId="11" xfId="7" applyFont="1" applyFill="1" applyBorder="1" applyAlignment="1">
      <alignment horizontal="center" vertical="center" wrapText="1"/>
    </xf>
    <xf numFmtId="0" fontId="71" fillId="0" borderId="23" xfId="7" applyFont="1" applyFill="1" applyBorder="1" applyAlignment="1">
      <alignment horizontal="center" vertical="center" wrapText="1"/>
    </xf>
    <xf numFmtId="0" fontId="71" fillId="0" borderId="7" xfId="7" applyFont="1" applyFill="1" applyBorder="1" applyAlignment="1">
      <alignment horizontal="center" vertical="center" wrapText="1"/>
    </xf>
    <xf numFmtId="0" fontId="71" fillId="0" borderId="25" xfId="7" applyFont="1" applyFill="1" applyBorder="1" applyAlignment="1">
      <alignment horizontal="center" vertical="center" wrapText="1"/>
    </xf>
    <xf numFmtId="0" fontId="71" fillId="0" borderId="14" xfId="7" applyFont="1" applyFill="1" applyBorder="1" applyAlignment="1">
      <alignment horizontal="center" vertical="center" wrapText="1"/>
    </xf>
    <xf numFmtId="0" fontId="71" fillId="0" borderId="22" xfId="7" applyFont="1" applyFill="1" applyBorder="1" applyAlignment="1">
      <alignment horizontal="center" vertical="center" wrapText="1"/>
    </xf>
    <xf numFmtId="0" fontId="71" fillId="0" borderId="8" xfId="7" applyFont="1" applyFill="1" applyBorder="1" applyAlignment="1">
      <alignment horizontal="center" vertical="center" wrapText="1"/>
    </xf>
    <xf numFmtId="0" fontId="71" fillId="0" borderId="6" xfId="7" applyFont="1" applyFill="1" applyBorder="1" applyAlignment="1">
      <alignment horizontal="center" vertical="center" wrapText="1"/>
    </xf>
    <xf numFmtId="0" fontId="71" fillId="0" borderId="18" xfId="7" applyFont="1" applyFill="1" applyBorder="1" applyAlignment="1">
      <alignment horizontal="center" vertical="center" wrapText="1"/>
    </xf>
    <xf numFmtId="0" fontId="71" fillId="0" borderId="27" xfId="7" applyFont="1" applyFill="1" applyBorder="1" applyAlignment="1">
      <alignment horizontal="center" vertical="center" wrapText="1"/>
    </xf>
    <xf numFmtId="0" fontId="70" fillId="0" borderId="11" xfId="7" applyFont="1" applyFill="1" applyBorder="1" applyAlignment="1">
      <alignment horizontal="center" vertical="center" wrapText="1"/>
    </xf>
    <xf numFmtId="0" fontId="71" fillId="0" borderId="11" xfId="7" applyFont="1" applyFill="1" applyBorder="1" applyAlignment="1">
      <alignment horizontal="left" vertical="center" wrapText="1"/>
    </xf>
    <xf numFmtId="49" fontId="71" fillId="0" borderId="11" xfId="7" applyNumberFormat="1" applyFont="1" applyFill="1" applyBorder="1" applyAlignment="1">
      <alignment horizontal="center" vertical="center" wrapText="1"/>
    </xf>
    <xf numFmtId="0" fontId="28" fillId="0" borderId="11" xfId="7" applyFont="1" applyFill="1" applyBorder="1" applyAlignment="1">
      <alignment horizontal="center" vertical="center" wrapText="1"/>
    </xf>
    <xf numFmtId="0" fontId="62" fillId="0" borderId="23" xfId="7" applyFont="1" applyFill="1" applyBorder="1" applyAlignment="1">
      <alignment horizontal="center" vertical="center" wrapText="1"/>
    </xf>
    <xf numFmtId="0" fontId="62" fillId="0" borderId="7" xfId="7" applyFont="1" applyFill="1" applyBorder="1" applyAlignment="1">
      <alignment horizontal="center" vertical="center" wrapText="1"/>
    </xf>
    <xf numFmtId="0" fontId="62" fillId="0" borderId="25" xfId="7" applyFont="1" applyFill="1" applyBorder="1" applyAlignment="1">
      <alignment horizontal="center" vertical="center" wrapText="1"/>
    </xf>
    <xf numFmtId="49" fontId="71" fillId="0" borderId="23" xfId="7" applyNumberFormat="1" applyFont="1" applyFill="1" applyBorder="1" applyAlignment="1">
      <alignment horizontal="center" vertical="center" wrapText="1"/>
    </xf>
    <xf numFmtId="49" fontId="71" fillId="0" borderId="7" xfId="7" applyNumberFormat="1" applyFont="1" applyFill="1" applyBorder="1" applyAlignment="1">
      <alignment horizontal="center" vertical="center" wrapText="1"/>
    </xf>
    <xf numFmtId="49" fontId="71" fillId="0" borderId="25" xfId="7" applyNumberFormat="1" applyFont="1" applyFill="1" applyBorder="1" applyAlignment="1">
      <alignment horizontal="center" vertical="center" wrapText="1"/>
    </xf>
    <xf numFmtId="0" fontId="71" fillId="0" borderId="23" xfId="7" applyFont="1" applyFill="1" applyBorder="1" applyAlignment="1">
      <alignment horizontal="left" vertical="center" wrapText="1"/>
    </xf>
    <xf numFmtId="0" fontId="71" fillId="0" borderId="7" xfId="7" applyFont="1" applyFill="1" applyBorder="1" applyAlignment="1">
      <alignment horizontal="left" vertical="center" wrapText="1"/>
    </xf>
    <xf numFmtId="0" fontId="71" fillId="0" borderId="25" xfId="7" applyFont="1" applyFill="1" applyBorder="1" applyAlignment="1">
      <alignment horizontal="left" vertical="center" wrapText="1"/>
    </xf>
    <xf numFmtId="0" fontId="52" fillId="0" borderId="23" xfId="0" applyFont="1" applyFill="1" applyBorder="1" applyAlignment="1">
      <alignment horizontal="center" vertical="center"/>
    </xf>
    <xf numFmtId="0" fontId="52" fillId="0" borderId="25" xfId="0" applyFont="1" applyFill="1" applyBorder="1" applyAlignment="1">
      <alignment horizontal="center" vertical="center"/>
    </xf>
    <xf numFmtId="0" fontId="50" fillId="0" borderId="19" xfId="0" applyFont="1" applyFill="1" applyBorder="1" applyAlignment="1">
      <alignment horizontal="center" vertical="center" wrapText="1"/>
    </xf>
    <xf numFmtId="0" fontId="50" fillId="0" borderId="13" xfId="0" applyFont="1" applyFill="1" applyBorder="1" applyAlignment="1">
      <alignment horizontal="center" vertical="center" wrapText="1"/>
    </xf>
    <xf numFmtId="0" fontId="56" fillId="0" borderId="11" xfId="0" applyFont="1" applyFill="1" applyBorder="1" applyAlignment="1">
      <alignment horizontal="center" vertical="center" wrapText="1"/>
    </xf>
    <xf numFmtId="0" fontId="56" fillId="0" borderId="11" xfId="0" applyFont="1" applyFill="1" applyBorder="1" applyAlignment="1">
      <alignment horizontal="center" vertical="center"/>
    </xf>
    <xf numFmtId="0" fontId="53" fillId="0" borderId="19" xfId="0" applyFont="1" applyFill="1" applyBorder="1" applyAlignment="1">
      <alignment horizontal="center" vertical="center" wrapText="1"/>
    </xf>
    <xf numFmtId="0" fontId="53" fillId="0" borderId="13" xfId="0" applyFont="1" applyFill="1" applyBorder="1" applyAlignment="1">
      <alignment horizontal="center" vertical="center" wrapText="1"/>
    </xf>
    <xf numFmtId="0" fontId="69" fillId="0" borderId="19" xfId="0" applyFont="1" applyFill="1" applyBorder="1" applyAlignment="1">
      <alignment horizontal="center" vertical="center" wrapText="1"/>
    </xf>
    <xf numFmtId="0" fontId="69" fillId="0" borderId="13" xfId="0" applyFont="1" applyFill="1" applyBorder="1" applyAlignment="1">
      <alignment horizontal="center" vertical="center" wrapText="1"/>
    </xf>
    <xf numFmtId="0" fontId="56" fillId="0" borderId="19" xfId="0" applyFont="1" applyFill="1" applyBorder="1" applyAlignment="1">
      <alignment horizontal="center" vertical="center" wrapText="1"/>
    </xf>
    <xf numFmtId="0" fontId="56" fillId="0" borderId="30" xfId="0" applyFont="1" applyFill="1" applyBorder="1" applyAlignment="1">
      <alignment horizontal="center" vertical="center" wrapText="1"/>
    </xf>
    <xf numFmtId="0" fontId="56" fillId="0" borderId="13" xfId="0" applyFont="1" applyFill="1" applyBorder="1" applyAlignment="1">
      <alignment horizontal="center" vertical="center" wrapText="1"/>
    </xf>
    <xf numFmtId="0" fontId="52" fillId="0" borderId="7" xfId="0" applyFont="1" applyFill="1" applyBorder="1" applyAlignment="1">
      <alignment horizontal="center" vertical="center"/>
    </xf>
    <xf numFmtId="0" fontId="32" fillId="0" borderId="23" xfId="0" applyFont="1" applyFill="1" applyBorder="1" applyAlignment="1">
      <alignment horizontal="center" vertical="center" wrapText="1"/>
    </xf>
    <xf numFmtId="0" fontId="32" fillId="0" borderId="7" xfId="0" applyFont="1" applyFill="1" applyBorder="1" applyAlignment="1">
      <alignment horizontal="center" vertical="center" wrapText="1"/>
    </xf>
    <xf numFmtId="0" fontId="32" fillId="0" borderId="25" xfId="0" applyFont="1" applyFill="1" applyBorder="1" applyAlignment="1">
      <alignment horizontal="center" vertical="center" wrapText="1"/>
    </xf>
    <xf numFmtId="0" fontId="52" fillId="0" borderId="23" xfId="0" applyFont="1" applyFill="1" applyBorder="1" applyAlignment="1">
      <alignment horizontal="center" vertical="center" wrapText="1"/>
    </xf>
    <xf numFmtId="0" fontId="52" fillId="0" borderId="7" xfId="0" applyFont="1" applyFill="1" applyBorder="1" applyAlignment="1">
      <alignment horizontal="center" vertical="center" wrapText="1"/>
    </xf>
    <xf numFmtId="0" fontId="52" fillId="0" borderId="25" xfId="0" applyFont="1" applyFill="1" applyBorder="1" applyAlignment="1">
      <alignment horizontal="center" vertical="center" wrapText="1"/>
    </xf>
    <xf numFmtId="0" fontId="50" fillId="0" borderId="11" xfId="0" applyFont="1" applyFill="1" applyBorder="1" applyAlignment="1">
      <alignment horizontal="center" vertical="center" wrapText="1"/>
    </xf>
    <xf numFmtId="0" fontId="50" fillId="0" borderId="14" xfId="0" applyFont="1" applyFill="1" applyBorder="1" applyAlignment="1">
      <alignment horizontal="center" vertical="center" wrapText="1"/>
    </xf>
    <xf numFmtId="0" fontId="50" fillId="0" borderId="22" xfId="0" applyFont="1" applyFill="1" applyBorder="1" applyAlignment="1">
      <alignment horizontal="center" vertical="center" wrapText="1"/>
    </xf>
    <xf numFmtId="0" fontId="50" fillId="0" borderId="8" xfId="0" applyFont="1" applyFill="1" applyBorder="1" applyAlignment="1">
      <alignment horizontal="center" vertical="center" wrapText="1"/>
    </xf>
    <xf numFmtId="0" fontId="50" fillId="0" borderId="6" xfId="0" applyFont="1" applyFill="1" applyBorder="1" applyAlignment="1">
      <alignment horizontal="center" vertical="center" wrapText="1"/>
    </xf>
    <xf numFmtId="0" fontId="50" fillId="0" borderId="18" xfId="0" applyFont="1" applyFill="1" applyBorder="1" applyAlignment="1">
      <alignment horizontal="center" vertical="center" wrapText="1"/>
    </xf>
    <xf numFmtId="0" fontId="50" fillId="0" borderId="27" xfId="0" applyFont="1" applyFill="1" applyBorder="1" applyAlignment="1">
      <alignment horizontal="center" vertical="center" wrapText="1"/>
    </xf>
    <xf numFmtId="0" fontId="49" fillId="0" borderId="23" xfId="0" applyFont="1" applyFill="1" applyBorder="1" applyAlignment="1">
      <alignment horizontal="center" vertical="center" wrapText="1"/>
    </xf>
    <xf numFmtId="0" fontId="49" fillId="0" borderId="7" xfId="0" applyFont="1" applyFill="1" applyBorder="1" applyAlignment="1">
      <alignment horizontal="center" vertical="center" wrapText="1"/>
    </xf>
    <xf numFmtId="0" fontId="49" fillId="0" borderId="25" xfId="0" applyFont="1" applyFill="1" applyBorder="1" applyAlignment="1">
      <alignment horizontal="center" vertical="center" wrapText="1"/>
    </xf>
    <xf numFmtId="0" fontId="51" fillId="0" borderId="11" xfId="0" applyFont="1" applyFill="1" applyBorder="1" applyAlignment="1">
      <alignment horizontal="center" vertical="center" wrapText="1"/>
    </xf>
    <xf numFmtId="0" fontId="53" fillId="0" borderId="23" xfId="0" applyFont="1" applyFill="1" applyBorder="1" applyAlignment="1">
      <alignment horizontal="center" vertical="center" wrapText="1"/>
    </xf>
    <xf numFmtId="0" fontId="53" fillId="0" borderId="7" xfId="0" applyFont="1" applyFill="1" applyBorder="1" applyAlignment="1">
      <alignment horizontal="center" vertical="center" wrapText="1"/>
    </xf>
    <xf numFmtId="0" fontId="53" fillId="0" borderId="25" xfId="0" applyFont="1" applyFill="1" applyBorder="1" applyAlignment="1">
      <alignment horizontal="center" vertical="center" wrapText="1"/>
    </xf>
    <xf numFmtId="0" fontId="50" fillId="0" borderId="23" xfId="0" applyFont="1" applyFill="1" applyBorder="1" applyAlignment="1">
      <alignment horizontal="left" vertical="center" wrapText="1"/>
    </xf>
    <xf numFmtId="0" fontId="50" fillId="0" borderId="7" xfId="0" applyFont="1" applyFill="1" applyBorder="1" applyAlignment="1">
      <alignment horizontal="left" vertical="center" wrapText="1"/>
    </xf>
    <xf numFmtId="0" fontId="50" fillId="0" borderId="25" xfId="0" applyFont="1" applyFill="1" applyBorder="1" applyAlignment="1">
      <alignment horizontal="left" vertical="center" wrapText="1"/>
    </xf>
    <xf numFmtId="49" fontId="50" fillId="0" borderId="11" xfId="0" applyNumberFormat="1" applyFont="1" applyFill="1" applyBorder="1" applyAlignment="1">
      <alignment horizontal="center" vertical="center" wrapText="1"/>
    </xf>
    <xf numFmtId="0" fontId="50" fillId="0" borderId="11" xfId="0" applyFont="1" applyFill="1" applyBorder="1" applyAlignment="1">
      <alignment horizontal="left" vertical="center" wrapText="1"/>
    </xf>
    <xf numFmtId="0" fontId="29" fillId="0" borderId="23" xfId="0" applyFont="1" applyFill="1" applyBorder="1" applyAlignment="1">
      <alignment horizontal="center" vertical="center" wrapText="1"/>
    </xf>
    <xf numFmtId="0" fontId="29" fillId="0" borderId="7" xfId="0" applyFont="1" applyFill="1" applyBorder="1" applyAlignment="1">
      <alignment horizontal="center" vertical="center" wrapText="1"/>
    </xf>
    <xf numFmtId="49" fontId="49" fillId="0" borderId="23" xfId="2" applyNumberFormat="1" applyFont="1" applyFill="1" applyBorder="1" applyAlignment="1">
      <alignment horizontal="center" vertical="center" wrapText="1"/>
    </xf>
    <xf numFmtId="49" fontId="49" fillId="0" borderId="7" xfId="2" applyNumberFormat="1" applyFont="1" applyFill="1" applyBorder="1" applyAlignment="1">
      <alignment horizontal="center" vertical="center" wrapText="1"/>
    </xf>
    <xf numFmtId="49" fontId="49" fillId="0" borderId="25" xfId="2" applyNumberFormat="1" applyFont="1" applyFill="1" applyBorder="1" applyAlignment="1">
      <alignment horizontal="center" vertical="center" wrapText="1"/>
    </xf>
    <xf numFmtId="0" fontId="49" fillId="0" borderId="23" xfId="2" applyFont="1" applyFill="1" applyBorder="1" applyAlignment="1">
      <alignment horizontal="center" vertical="center" wrapText="1"/>
    </xf>
    <xf numFmtId="0" fontId="49" fillId="0" borderId="7" xfId="2" applyFont="1" applyFill="1" applyBorder="1" applyAlignment="1">
      <alignment horizontal="center" vertical="center" wrapText="1"/>
    </xf>
    <xf numFmtId="0" fontId="49" fillId="0" borderId="25" xfId="2" applyFont="1" applyFill="1" applyBorder="1" applyAlignment="1">
      <alignment horizontal="center" vertical="center" wrapText="1"/>
    </xf>
    <xf numFmtId="0" fontId="51" fillId="0" borderId="23" xfId="0" applyFont="1" applyFill="1" applyBorder="1" applyAlignment="1">
      <alignment horizontal="center" vertical="center" wrapText="1"/>
    </xf>
    <xf numFmtId="0" fontId="51" fillId="0" borderId="7" xfId="0" applyFont="1" applyFill="1" applyBorder="1" applyAlignment="1">
      <alignment horizontal="center" vertical="center" wrapText="1"/>
    </xf>
    <xf numFmtId="0" fontId="52" fillId="0" borderId="23" xfId="2" applyFont="1" applyFill="1" applyBorder="1" applyAlignment="1">
      <alignment horizontal="center" vertical="center" wrapText="1"/>
    </xf>
    <xf numFmtId="0" fontId="52" fillId="0" borderId="7" xfId="2" applyFont="1" applyFill="1" applyBorder="1" applyAlignment="1">
      <alignment horizontal="center" vertical="center" wrapText="1"/>
    </xf>
    <xf numFmtId="0" fontId="52" fillId="0" borderId="25" xfId="2" applyFont="1" applyFill="1" applyBorder="1" applyAlignment="1">
      <alignment horizontal="center" vertical="center" wrapText="1"/>
    </xf>
    <xf numFmtId="0" fontId="52" fillId="0" borderId="14" xfId="0" applyFont="1" applyFill="1" applyBorder="1" applyAlignment="1">
      <alignment horizontal="center" vertical="center" wrapText="1"/>
    </xf>
    <xf numFmtId="0" fontId="52" fillId="0" borderId="22" xfId="0" applyFont="1" applyFill="1" applyBorder="1" applyAlignment="1">
      <alignment horizontal="center" vertical="center" wrapText="1"/>
    </xf>
    <xf numFmtId="0" fontId="52" fillId="0" borderId="8" xfId="0" applyFont="1" applyFill="1" applyBorder="1" applyAlignment="1">
      <alignment horizontal="center" vertical="center" wrapText="1"/>
    </xf>
    <xf numFmtId="0" fontId="52" fillId="0" borderId="6" xfId="0" applyFont="1" applyFill="1" applyBorder="1" applyAlignment="1">
      <alignment horizontal="center" vertical="center" wrapText="1"/>
    </xf>
    <xf numFmtId="0" fontId="53" fillId="0" borderId="23" xfId="0" applyFont="1" applyFill="1" applyBorder="1" applyAlignment="1">
      <alignment horizontal="center" vertical="center"/>
    </xf>
    <xf numFmtId="0" fontId="53" fillId="0" borderId="7" xfId="0" applyFont="1" applyFill="1" applyBorder="1" applyAlignment="1">
      <alignment horizontal="center" vertical="center"/>
    </xf>
    <xf numFmtId="0" fontId="53" fillId="0" borderId="25" xfId="0" applyFont="1" applyFill="1" applyBorder="1" applyAlignment="1">
      <alignment horizontal="center" vertical="center"/>
    </xf>
    <xf numFmtId="0" fontId="49" fillId="0" borderId="23" xfId="7" applyFont="1" applyFill="1" applyBorder="1" applyAlignment="1">
      <alignment horizontal="center" vertical="center" wrapText="1"/>
    </xf>
    <xf numFmtId="0" fontId="49" fillId="0" borderId="7" xfId="7" applyFont="1" applyFill="1" applyBorder="1" applyAlignment="1">
      <alignment horizontal="center" vertical="center" wrapText="1"/>
    </xf>
    <xf numFmtId="0" fontId="49" fillId="0" borderId="25" xfId="7" applyFont="1" applyFill="1" applyBorder="1" applyAlignment="1">
      <alignment horizontal="center" vertical="center" wrapText="1"/>
    </xf>
    <xf numFmtId="0" fontId="49" fillId="0" borderId="11" xfId="7" applyFont="1" applyFill="1" applyBorder="1" applyAlignment="1">
      <alignment horizontal="center" vertical="center" wrapText="1"/>
    </xf>
    <xf numFmtId="0" fontId="52" fillId="0" borderId="14" xfId="7" applyFont="1" applyFill="1" applyBorder="1" applyAlignment="1">
      <alignment horizontal="center" vertical="center"/>
    </xf>
    <xf numFmtId="0" fontId="52" fillId="0" borderId="22" xfId="7" applyFont="1" applyFill="1" applyBorder="1" applyAlignment="1">
      <alignment horizontal="center" vertical="center"/>
    </xf>
    <xf numFmtId="0" fontId="52" fillId="0" borderId="8" xfId="7" applyFont="1" applyFill="1" applyBorder="1" applyAlignment="1">
      <alignment horizontal="center" vertical="center"/>
    </xf>
    <xf numFmtId="0" fontId="52" fillId="0" borderId="6" xfId="7" applyFont="1" applyFill="1" applyBorder="1" applyAlignment="1">
      <alignment horizontal="center" vertical="center"/>
    </xf>
    <xf numFmtId="0" fontId="52" fillId="0" borderId="18" xfId="7" applyFont="1" applyFill="1" applyBorder="1" applyAlignment="1">
      <alignment horizontal="center" vertical="center"/>
    </xf>
    <xf numFmtId="0" fontId="52" fillId="0" borderId="27" xfId="7" applyFont="1" applyFill="1" applyBorder="1" applyAlignment="1">
      <alignment horizontal="center" vertical="center"/>
    </xf>
    <xf numFmtId="0" fontId="49" fillId="0" borderId="14" xfId="2" applyFont="1" applyFill="1" applyBorder="1" applyAlignment="1">
      <alignment horizontal="center" vertical="center" wrapText="1"/>
    </xf>
    <xf numFmtId="0" fontId="49" fillId="0" borderId="22" xfId="2" applyFont="1" applyFill="1" applyBorder="1" applyAlignment="1">
      <alignment horizontal="center" vertical="center" wrapText="1"/>
    </xf>
    <xf numFmtId="0" fontId="49" fillId="0" borderId="8" xfId="2" applyFont="1" applyFill="1" applyBorder="1" applyAlignment="1">
      <alignment horizontal="center" vertical="center" wrapText="1"/>
    </xf>
    <xf numFmtId="0" fontId="49" fillId="0" borderId="6" xfId="2" applyFont="1" applyFill="1" applyBorder="1" applyAlignment="1">
      <alignment horizontal="center" vertical="center" wrapText="1"/>
    </xf>
    <xf numFmtId="0" fontId="51" fillId="0" borderId="14" xfId="0" applyFont="1" applyFill="1" applyBorder="1" applyAlignment="1">
      <alignment horizontal="center" vertical="center" wrapText="1"/>
    </xf>
    <xf numFmtId="0" fontId="51" fillId="0" borderId="22" xfId="0" applyFont="1" applyFill="1" applyBorder="1" applyAlignment="1">
      <alignment horizontal="center" vertical="center" wrapText="1"/>
    </xf>
    <xf numFmtId="0" fontId="51" fillId="0" borderId="8" xfId="0" applyFont="1" applyFill="1" applyBorder="1" applyAlignment="1">
      <alignment horizontal="center" vertical="center" wrapText="1"/>
    </xf>
    <xf numFmtId="0" fontId="51" fillId="0" borderId="6" xfId="0" applyFont="1" applyFill="1" applyBorder="1" applyAlignment="1">
      <alignment horizontal="center" vertical="center" wrapText="1"/>
    </xf>
    <xf numFmtId="0" fontId="29" fillId="0" borderId="25" xfId="0" applyFont="1" applyFill="1" applyBorder="1" applyAlignment="1">
      <alignment horizontal="center" vertical="center" wrapText="1"/>
    </xf>
    <xf numFmtId="0" fontId="51" fillId="0" borderId="18" xfId="0" applyFont="1" applyFill="1" applyBorder="1" applyAlignment="1">
      <alignment horizontal="center" vertical="center" wrapText="1"/>
    </xf>
    <xf numFmtId="0" fontId="51" fillId="0" borderId="27" xfId="0" applyFont="1" applyFill="1" applyBorder="1" applyAlignment="1">
      <alignment horizontal="center" vertical="center" wrapText="1"/>
    </xf>
    <xf numFmtId="0" fontId="49" fillId="0" borderId="14" xfId="7" applyFont="1" applyFill="1" applyBorder="1" applyAlignment="1">
      <alignment horizontal="center" vertical="center" wrapText="1"/>
    </xf>
    <xf numFmtId="0" fontId="49" fillId="0" borderId="22" xfId="7" applyFont="1" applyFill="1" applyBorder="1" applyAlignment="1">
      <alignment horizontal="center" vertical="center" wrapText="1"/>
    </xf>
    <xf numFmtId="0" fontId="49" fillId="0" borderId="8" xfId="7" applyFont="1" applyFill="1" applyBorder="1" applyAlignment="1">
      <alignment horizontal="center" vertical="center" wrapText="1"/>
    </xf>
    <xf numFmtId="0" fontId="49" fillId="0" borderId="6" xfId="7" applyFont="1" applyFill="1" applyBorder="1" applyAlignment="1">
      <alignment horizontal="center" vertical="center" wrapText="1"/>
    </xf>
    <xf numFmtId="0" fontId="49" fillId="0" borderId="18" xfId="7" applyFont="1" applyFill="1" applyBorder="1" applyAlignment="1">
      <alignment horizontal="center" vertical="center" wrapText="1"/>
    </xf>
    <xf numFmtId="0" fontId="49" fillId="0" borderId="27" xfId="7" applyFont="1" applyFill="1" applyBorder="1" applyAlignment="1">
      <alignment horizontal="center" vertical="center" wrapText="1"/>
    </xf>
    <xf numFmtId="0" fontId="32" fillId="0" borderId="23" xfId="7" applyFont="1" applyFill="1" applyBorder="1" applyAlignment="1">
      <alignment horizontal="center" vertical="center" wrapText="1"/>
    </xf>
    <xf numFmtId="0" fontId="32" fillId="0" borderId="7" xfId="7" applyFont="1" applyFill="1" applyBorder="1" applyAlignment="1">
      <alignment horizontal="center" vertical="center" wrapText="1"/>
    </xf>
    <xf numFmtId="0" fontId="32" fillId="0" borderId="25" xfId="7" applyFont="1" applyFill="1" applyBorder="1" applyAlignment="1">
      <alignment horizontal="center" vertical="center" wrapText="1"/>
    </xf>
    <xf numFmtId="0" fontId="52" fillId="0" borderId="11" xfId="7" applyFont="1" applyFill="1" applyBorder="1" applyAlignment="1">
      <alignment horizontal="center" vertical="center" wrapText="1"/>
    </xf>
    <xf numFmtId="0" fontId="35" fillId="0" borderId="23" xfId="7" applyFont="1" applyFill="1" applyBorder="1" applyAlignment="1">
      <alignment horizontal="center" vertical="center" wrapText="1"/>
    </xf>
    <xf numFmtId="0" fontId="35" fillId="0" borderId="7" xfId="7" applyFont="1" applyFill="1" applyBorder="1" applyAlignment="1">
      <alignment horizontal="center" vertical="center" wrapText="1"/>
    </xf>
    <xf numFmtId="0" fontId="35" fillId="0" borderId="25" xfId="7" applyFont="1" applyFill="1" applyBorder="1" applyAlignment="1">
      <alignment horizontal="center" vertical="center" wrapText="1"/>
    </xf>
    <xf numFmtId="0" fontId="49" fillId="0" borderId="11" xfId="7" applyFont="1" applyFill="1" applyBorder="1" applyAlignment="1">
      <alignment horizontal="left" vertical="center" wrapText="1"/>
    </xf>
    <xf numFmtId="49" fontId="49" fillId="0" borderId="11" xfId="7" applyNumberFormat="1" applyFont="1" applyFill="1" applyBorder="1" applyAlignment="1">
      <alignment horizontal="center" vertical="center" wrapText="1"/>
    </xf>
    <xf numFmtId="0" fontId="49" fillId="0" borderId="23" xfId="7" applyFont="1" applyFill="1" applyBorder="1" applyAlignment="1">
      <alignment horizontal="left" vertical="center" wrapText="1"/>
    </xf>
    <xf numFmtId="0" fontId="49" fillId="0" borderId="7" xfId="7" applyFont="1" applyFill="1" applyBorder="1" applyAlignment="1">
      <alignment horizontal="left" vertical="center" wrapText="1"/>
    </xf>
    <xf numFmtId="0" fontId="49" fillId="0" borderId="25" xfId="7" applyFont="1" applyFill="1" applyBorder="1" applyAlignment="1">
      <alignment horizontal="left" vertical="center" wrapText="1"/>
    </xf>
    <xf numFmtId="0" fontId="49" fillId="0" borderId="23" xfId="0" applyFont="1" applyFill="1" applyBorder="1" applyAlignment="1">
      <alignment horizontal="center" vertical="center"/>
    </xf>
    <xf numFmtId="0" fontId="49" fillId="0" borderId="7" xfId="0" applyFont="1" applyFill="1" applyBorder="1" applyAlignment="1">
      <alignment horizontal="center" vertical="center"/>
    </xf>
    <xf numFmtId="0" fontId="49" fillId="0" borderId="25" xfId="0" applyFont="1" applyFill="1" applyBorder="1" applyAlignment="1">
      <alignment horizontal="center" vertical="center"/>
    </xf>
    <xf numFmtId="0" fontId="51" fillId="0" borderId="25" xfId="0" applyFont="1" applyFill="1" applyBorder="1" applyAlignment="1">
      <alignment horizontal="center" vertical="center" wrapText="1"/>
    </xf>
    <xf numFmtId="0" fontId="57" fillId="11" borderId="11" xfId="0" applyFont="1" applyFill="1" applyBorder="1" applyAlignment="1">
      <alignment horizontal="center" vertical="center" wrapText="1"/>
    </xf>
    <xf numFmtId="0" fontId="49" fillId="0" borderId="11" xfId="2" applyFont="1" applyFill="1" applyBorder="1" applyAlignment="1">
      <alignment horizontal="center" vertical="center" wrapText="1"/>
    </xf>
    <xf numFmtId="0" fontId="53" fillId="0" borderId="11" xfId="0" applyFont="1" applyFill="1" applyBorder="1" applyAlignment="1">
      <alignment horizontal="center" vertical="center" wrapText="1"/>
    </xf>
    <xf numFmtId="0" fontId="52" fillId="0" borderId="11" xfId="0" applyFont="1" applyFill="1" applyBorder="1" applyAlignment="1">
      <alignment horizontal="center" vertical="center" wrapText="1"/>
    </xf>
    <xf numFmtId="0" fontId="53" fillId="0" borderId="14" xfId="0" applyFont="1" applyFill="1" applyBorder="1" applyAlignment="1">
      <alignment horizontal="center" vertical="center" wrapText="1"/>
    </xf>
    <xf numFmtId="0" fontId="53" fillId="0" borderId="22" xfId="0" applyFont="1" applyFill="1" applyBorder="1" applyAlignment="1">
      <alignment horizontal="center" vertical="center" wrapText="1"/>
    </xf>
    <xf numFmtId="0" fontId="53" fillId="0" borderId="18" xfId="0" applyFont="1" applyFill="1" applyBorder="1" applyAlignment="1">
      <alignment horizontal="center" vertical="center" wrapText="1"/>
    </xf>
    <xf numFmtId="0" fontId="53" fillId="0" borderId="27" xfId="0" applyFont="1" applyFill="1" applyBorder="1" applyAlignment="1">
      <alignment horizontal="center" vertical="center" wrapText="1"/>
    </xf>
    <xf numFmtId="0" fontId="53" fillId="0" borderId="11" xfId="0" applyFont="1" applyFill="1" applyBorder="1" applyAlignment="1">
      <alignment horizontal="left" vertical="center" wrapText="1"/>
    </xf>
    <xf numFmtId="0" fontId="73" fillId="0" borderId="11" xfId="0" applyFont="1" applyFill="1" applyBorder="1" applyAlignment="1">
      <alignment horizontal="center" vertical="center" wrapText="1"/>
    </xf>
    <xf numFmtId="0" fontId="69" fillId="0" borderId="23" xfId="0" applyFont="1" applyFill="1" applyBorder="1" applyAlignment="1">
      <alignment horizontal="center" vertical="center" wrapText="1"/>
    </xf>
    <xf numFmtId="0" fontId="69" fillId="0" borderId="7" xfId="0" applyFont="1" applyFill="1" applyBorder="1" applyAlignment="1">
      <alignment horizontal="center" vertical="center" wrapText="1"/>
    </xf>
    <xf numFmtId="0" fontId="69" fillId="0" borderId="25" xfId="0" applyFont="1" applyFill="1" applyBorder="1" applyAlignment="1">
      <alignment horizontal="center" vertical="center" wrapText="1"/>
    </xf>
    <xf numFmtId="0" fontId="80" fillId="0" borderId="11" xfId="0" applyFont="1" applyFill="1" applyBorder="1" applyAlignment="1">
      <alignment horizontal="center" vertical="center" wrapText="1"/>
    </xf>
    <xf numFmtId="0" fontId="80" fillId="0" borderId="19" xfId="0" applyFont="1" applyFill="1" applyBorder="1" applyAlignment="1">
      <alignment horizontal="center" vertical="center" wrapText="1"/>
    </xf>
    <xf numFmtId="0" fontId="80" fillId="0" borderId="13" xfId="0" applyFont="1" applyFill="1" applyBorder="1" applyAlignment="1">
      <alignment horizontal="center" vertical="center" wrapText="1"/>
    </xf>
    <xf numFmtId="49" fontId="51" fillId="0" borderId="23" xfId="0" applyNumberFormat="1" applyFont="1" applyFill="1" applyBorder="1" applyAlignment="1">
      <alignment horizontal="center" vertical="center" wrapText="1"/>
    </xf>
    <xf numFmtId="49" fontId="52" fillId="0" borderId="25" xfId="0" applyNumberFormat="1" applyFont="1" applyFill="1" applyBorder="1" applyAlignment="1">
      <alignment vertical="center"/>
    </xf>
    <xf numFmtId="49" fontId="50" fillId="0" borderId="23" xfId="0" applyNumberFormat="1" applyFont="1" applyFill="1" applyBorder="1" applyAlignment="1">
      <alignment horizontal="center" vertical="center" wrapText="1"/>
    </xf>
    <xf numFmtId="49" fontId="50" fillId="0" borderId="7" xfId="0" applyNumberFormat="1" applyFont="1" applyFill="1" applyBorder="1" applyAlignment="1">
      <alignment horizontal="center" vertical="center" wrapText="1"/>
    </xf>
    <xf numFmtId="49" fontId="50" fillId="0" borderId="25" xfId="0" applyNumberFormat="1" applyFont="1" applyFill="1" applyBorder="1" applyAlignment="1">
      <alignment horizontal="center" vertical="center" wrapText="1"/>
    </xf>
    <xf numFmtId="49" fontId="51" fillId="0" borderId="7" xfId="0" applyNumberFormat="1" applyFont="1" applyFill="1" applyBorder="1" applyAlignment="1">
      <alignment horizontal="center" vertical="center" wrapText="1"/>
    </xf>
    <xf numFmtId="49" fontId="51" fillId="0" borderId="25" xfId="0" applyNumberFormat="1" applyFont="1" applyFill="1" applyBorder="1" applyAlignment="1">
      <alignment horizontal="center" vertical="center" wrapText="1"/>
    </xf>
    <xf numFmtId="0" fontId="52" fillId="0" borderId="23" xfId="0" applyFont="1" applyFill="1" applyBorder="1" applyAlignment="1">
      <alignment horizontal="left" vertical="center" wrapText="1"/>
    </xf>
    <xf numFmtId="0" fontId="52" fillId="0" borderId="7" xfId="0" applyFont="1" applyFill="1" applyBorder="1" applyAlignment="1">
      <alignment horizontal="left" vertical="center" wrapText="1"/>
    </xf>
    <xf numFmtId="0" fontId="52" fillId="0" borderId="25" xfId="0" applyFont="1" applyFill="1" applyBorder="1" applyAlignment="1">
      <alignment horizontal="left" vertical="center" wrapText="1"/>
    </xf>
    <xf numFmtId="2" fontId="49" fillId="0" borderId="23" xfId="2" applyNumberFormat="1" applyFont="1" applyFill="1" applyBorder="1" applyAlignment="1">
      <alignment horizontal="center" vertical="center"/>
    </xf>
    <xf numFmtId="2" fontId="49" fillId="0" borderId="25" xfId="2" applyNumberFormat="1" applyFont="1" applyFill="1" applyBorder="1" applyAlignment="1">
      <alignment horizontal="center" vertical="center"/>
    </xf>
    <xf numFmtId="2" fontId="49" fillId="0" borderId="7" xfId="2" applyNumberFormat="1" applyFont="1" applyFill="1" applyBorder="1" applyAlignment="1">
      <alignment horizontal="center" vertical="center"/>
    </xf>
    <xf numFmtId="0" fontId="50" fillId="0" borderId="23" xfId="0" applyFont="1" applyFill="1" applyBorder="1" applyAlignment="1">
      <alignment horizontal="left" vertical="top" wrapText="1"/>
    </xf>
    <xf numFmtId="0" fontId="50" fillId="0" borderId="25" xfId="0" applyFont="1" applyFill="1" applyBorder="1" applyAlignment="1">
      <alignment horizontal="left" vertical="top" wrapText="1"/>
    </xf>
    <xf numFmtId="49" fontId="49" fillId="0" borderId="23" xfId="7" applyNumberFormat="1" applyFont="1" applyFill="1" applyBorder="1" applyAlignment="1">
      <alignment horizontal="center" vertical="center" wrapText="1"/>
    </xf>
    <xf numFmtId="49" fontId="49" fillId="0" borderId="7" xfId="7" applyNumberFormat="1" applyFont="1" applyFill="1" applyBorder="1" applyAlignment="1">
      <alignment horizontal="center" vertical="center" wrapText="1"/>
    </xf>
    <xf numFmtId="49" fontId="49" fillId="0" borderId="25" xfId="7" applyNumberFormat="1" applyFont="1" applyFill="1" applyBorder="1" applyAlignment="1">
      <alignment horizontal="center" vertical="center" wrapText="1"/>
    </xf>
    <xf numFmtId="49" fontId="32" fillId="0" borderId="11" xfId="0" applyNumberFormat="1" applyFont="1" applyFill="1" applyBorder="1" applyAlignment="1">
      <alignment horizontal="center" vertical="center" wrapText="1"/>
    </xf>
    <xf numFmtId="2" fontId="53" fillId="0" borderId="11" xfId="0" applyNumberFormat="1" applyFont="1" applyFill="1" applyBorder="1" applyAlignment="1">
      <alignment horizontal="center" vertical="center"/>
    </xf>
    <xf numFmtId="0" fontId="53" fillId="0" borderId="11" xfId="0" applyNumberFormat="1" applyFont="1" applyFill="1" applyBorder="1" applyAlignment="1">
      <alignment horizontal="center" vertical="center" wrapText="1"/>
    </xf>
    <xf numFmtId="49" fontId="53" fillId="0" borderId="11" xfId="0" applyNumberFormat="1" applyFont="1" applyFill="1" applyBorder="1" applyAlignment="1">
      <alignment horizontal="center" vertical="center" wrapText="1"/>
    </xf>
    <xf numFmtId="0" fontId="74" fillId="0" borderId="19" xfId="0" applyFont="1" applyFill="1" applyBorder="1" applyAlignment="1">
      <alignment horizontal="center" vertical="center" wrapText="1"/>
    </xf>
    <xf numFmtId="0" fontId="74" fillId="0" borderId="30" xfId="0" applyFont="1" applyFill="1" applyBorder="1" applyAlignment="1">
      <alignment horizontal="center" vertical="center" wrapText="1"/>
    </xf>
    <xf numFmtId="0" fontId="74" fillId="0" borderId="13" xfId="0" applyFont="1" applyFill="1" applyBorder="1" applyAlignment="1">
      <alignment horizontal="center" vertical="center" wrapText="1"/>
    </xf>
    <xf numFmtId="0" fontId="28" fillId="0" borderId="11" xfId="7" applyFont="1" applyFill="1" applyBorder="1" applyAlignment="1">
      <alignment horizontal="left" vertical="center" wrapText="1"/>
    </xf>
    <xf numFmtId="0" fontId="56" fillId="0" borderId="18" xfId="0" applyFont="1" applyFill="1" applyBorder="1" applyAlignment="1">
      <alignment horizontal="center" vertical="center"/>
    </xf>
    <xf numFmtId="0" fontId="56" fillId="0" borderId="31" xfId="0" applyFont="1" applyFill="1" applyBorder="1" applyAlignment="1">
      <alignment horizontal="center" vertical="center"/>
    </xf>
    <xf numFmtId="0" fontId="62" fillId="0" borderId="11" xfId="0" applyFont="1" applyFill="1" applyBorder="1" applyAlignment="1">
      <alignment horizontal="center" vertical="center" wrapText="1"/>
    </xf>
    <xf numFmtId="0" fontId="67" fillId="0" borderId="19" xfId="0" applyFont="1" applyFill="1" applyBorder="1" applyAlignment="1">
      <alignment horizontal="center" vertical="center"/>
    </xf>
    <xf numFmtId="0" fontId="67" fillId="0" borderId="30" xfId="0" applyFont="1" applyFill="1" applyBorder="1" applyAlignment="1">
      <alignment horizontal="center" vertical="center"/>
    </xf>
    <xf numFmtId="0" fontId="67" fillId="0" borderId="13" xfId="0" applyFont="1" applyFill="1" applyBorder="1" applyAlignment="1">
      <alignment horizontal="center" vertical="center"/>
    </xf>
    <xf numFmtId="0" fontId="50" fillId="0" borderId="7" xfId="0" applyFont="1" applyFill="1" applyBorder="1" applyAlignment="1">
      <alignment horizontal="left" vertical="top" wrapText="1"/>
    </xf>
    <xf numFmtId="0" fontId="49" fillId="0" borderId="14" xfId="0" applyFont="1" applyFill="1" applyBorder="1" applyAlignment="1">
      <alignment horizontal="center" vertical="center" wrapText="1"/>
    </xf>
    <xf numFmtId="0" fontId="49" fillId="0" borderId="18" xfId="0" applyFont="1" applyFill="1" applyBorder="1" applyAlignment="1">
      <alignment horizontal="center" vertical="center" wrapText="1"/>
    </xf>
    <xf numFmtId="0" fontId="49" fillId="0" borderId="11" xfId="0" applyFont="1" applyFill="1" applyBorder="1" applyAlignment="1">
      <alignment horizontal="center" vertical="center" wrapText="1"/>
    </xf>
    <xf numFmtId="0" fontId="28" fillId="0" borderId="23" xfId="7" applyFont="1" applyFill="1" applyBorder="1" applyAlignment="1">
      <alignment horizontal="center" vertical="center" wrapText="1"/>
    </xf>
    <xf numFmtId="0" fontId="28" fillId="0" borderId="7" xfId="7" applyFont="1" applyFill="1" applyBorder="1" applyAlignment="1">
      <alignment horizontal="center" vertical="center" wrapText="1"/>
    </xf>
    <xf numFmtId="0" fontId="50" fillId="0" borderId="14" xfId="0" applyFont="1" applyBorder="1" applyAlignment="1">
      <alignment horizontal="center" vertical="center" wrapText="1"/>
    </xf>
    <xf numFmtId="0" fontId="50" fillId="0" borderId="22" xfId="0" applyFont="1" applyBorder="1" applyAlignment="1">
      <alignment horizontal="center" vertical="center" wrapText="1"/>
    </xf>
    <xf numFmtId="0" fontId="50" fillId="0" borderId="18" xfId="0" applyFont="1" applyBorder="1" applyAlignment="1">
      <alignment horizontal="center" vertical="center" wrapText="1"/>
    </xf>
    <xf numFmtId="0" fontId="50" fillId="0" borderId="27" xfId="0" applyFont="1" applyBorder="1" applyAlignment="1">
      <alignment horizontal="center" vertical="center" wrapText="1"/>
    </xf>
    <xf numFmtId="0" fontId="50" fillId="0" borderId="23" xfId="0" applyFont="1" applyBorder="1" applyAlignment="1">
      <alignment horizontal="center" vertical="center" wrapText="1"/>
    </xf>
    <xf numFmtId="0" fontId="50" fillId="0" borderId="7" xfId="0" applyFont="1" applyBorder="1" applyAlignment="1">
      <alignment horizontal="center" vertical="center" wrapText="1"/>
    </xf>
    <xf numFmtId="0" fontId="50" fillId="0" borderId="25" xfId="0" applyFont="1" applyBorder="1" applyAlignment="1">
      <alignment horizontal="center" vertical="center" wrapText="1"/>
    </xf>
    <xf numFmtId="0" fontId="49" fillId="2" borderId="19" xfId="0" applyFont="1" applyFill="1" applyBorder="1" applyAlignment="1">
      <alignment horizontal="center" vertical="center"/>
    </xf>
    <xf numFmtId="0" fontId="49" fillId="2" borderId="13" xfId="0" applyFont="1" applyFill="1" applyBorder="1" applyAlignment="1">
      <alignment horizontal="center" vertical="center"/>
    </xf>
    <xf numFmtId="0" fontId="52" fillId="0" borderId="19" xfId="0" applyFont="1" applyBorder="1" applyAlignment="1">
      <alignment horizontal="center" vertical="center" wrapText="1"/>
    </xf>
    <xf numFmtId="0" fontId="52" fillId="0" borderId="13" xfId="0" applyFont="1" applyBorder="1" applyAlignment="1">
      <alignment horizontal="center" vertical="center" wrapText="1"/>
    </xf>
    <xf numFmtId="14" fontId="49" fillId="0" borderId="23" xfId="2" applyNumberFormat="1" applyFont="1" applyFill="1" applyBorder="1" applyAlignment="1">
      <alignment horizontal="center" vertical="center" wrapText="1"/>
    </xf>
    <xf numFmtId="14" fontId="49" fillId="0" borderId="7" xfId="2" applyNumberFormat="1" applyFont="1" applyFill="1" applyBorder="1" applyAlignment="1">
      <alignment horizontal="center" vertical="center" wrapText="1"/>
    </xf>
    <xf numFmtId="14" fontId="49" fillId="0" borderId="25" xfId="2" applyNumberFormat="1" applyFont="1" applyFill="1" applyBorder="1" applyAlignment="1">
      <alignment horizontal="center" vertical="center" wrapText="1"/>
    </xf>
    <xf numFmtId="164" fontId="52" fillId="0" borderId="23" xfId="0" applyNumberFormat="1" applyFont="1" applyBorder="1" applyAlignment="1">
      <alignment horizontal="center" vertical="center" wrapText="1"/>
    </xf>
    <xf numFmtId="164" fontId="52" fillId="0" borderId="7" xfId="0" applyNumberFormat="1" applyFont="1" applyBorder="1" applyAlignment="1">
      <alignment horizontal="center" vertical="center" wrapText="1"/>
    </xf>
    <xf numFmtId="164" fontId="52" fillId="0" borderId="25" xfId="0" applyNumberFormat="1" applyFont="1" applyBorder="1" applyAlignment="1">
      <alignment horizontal="center" vertical="center" wrapText="1"/>
    </xf>
    <xf numFmtId="0" fontId="48" fillId="0" borderId="31" xfId="0" applyFont="1" applyBorder="1" applyAlignment="1">
      <alignment horizontal="center" vertical="center" wrapText="1"/>
    </xf>
    <xf numFmtId="0" fontId="49" fillId="2" borderId="23" xfId="0" applyFont="1" applyFill="1" applyBorder="1" applyAlignment="1">
      <alignment horizontal="center" vertical="center"/>
    </xf>
    <xf numFmtId="0" fontId="49" fillId="2" borderId="7" xfId="0" applyFont="1" applyFill="1" applyBorder="1" applyAlignment="1">
      <alignment horizontal="center" vertical="center"/>
    </xf>
    <xf numFmtId="0" fontId="49" fillId="2" borderId="25" xfId="0" applyFont="1" applyFill="1" applyBorder="1" applyAlignment="1">
      <alignment horizontal="center" vertical="center"/>
    </xf>
    <xf numFmtId="0" fontId="49" fillId="2" borderId="11" xfId="0" applyFont="1" applyFill="1" applyBorder="1" applyAlignment="1">
      <alignment horizontal="center" vertical="center" wrapText="1"/>
    </xf>
    <xf numFmtId="0" fontId="50" fillId="0" borderId="11" xfId="0" applyFont="1" applyBorder="1" applyAlignment="1">
      <alignment horizontal="center" vertical="center" wrapText="1"/>
    </xf>
    <xf numFmtId="0" fontId="51" fillId="0" borderId="11" xfId="0" applyFont="1" applyBorder="1" applyAlignment="1">
      <alignment horizontal="center" vertical="center" wrapText="1"/>
    </xf>
    <xf numFmtId="0" fontId="52" fillId="0" borderId="11" xfId="0" applyFont="1" applyBorder="1" applyAlignment="1">
      <alignment horizontal="center" vertical="center" wrapText="1"/>
    </xf>
    <xf numFmtId="0" fontId="41" fillId="0" borderId="11" xfId="0" applyFont="1" applyFill="1" applyBorder="1" applyAlignment="1">
      <alignment horizontal="center" vertical="center" wrapText="1"/>
    </xf>
    <xf numFmtId="0" fontId="41" fillId="16" borderId="11" xfId="0" applyFont="1" applyFill="1" applyBorder="1" applyAlignment="1">
      <alignment horizontal="center" vertical="center"/>
    </xf>
    <xf numFmtId="0" fontId="29" fillId="0" borderId="0" xfId="0" applyFont="1" applyFill="1" applyBorder="1" applyAlignment="1">
      <alignment horizontal="center" vertical="center" wrapText="1"/>
    </xf>
    <xf numFmtId="0" fontId="7" fillId="0" borderId="11" xfId="0" applyFont="1" applyFill="1" applyBorder="1" applyAlignment="1">
      <alignment horizontal="center" vertical="center"/>
    </xf>
    <xf numFmtId="0" fontId="7" fillId="0" borderId="11" xfId="0" applyFont="1" applyFill="1" applyBorder="1" applyAlignment="1">
      <alignment horizontal="center" vertical="center" wrapText="1"/>
    </xf>
    <xf numFmtId="2" fontId="7" fillId="0" borderId="11" xfId="0" applyNumberFormat="1" applyFont="1" applyFill="1" applyBorder="1" applyAlignment="1">
      <alignment horizontal="center" vertical="center" wrapText="1"/>
    </xf>
    <xf numFmtId="0" fontId="4" fillId="0" borderId="11" xfId="0" applyFont="1" applyFill="1" applyBorder="1" applyAlignment="1">
      <alignment horizontal="center" vertical="center" wrapText="1"/>
    </xf>
    <xf numFmtId="0" fontId="29" fillId="0" borderId="0" xfId="0" applyFont="1" applyBorder="1" applyAlignment="1">
      <alignment horizontal="center" vertical="center" wrapText="1"/>
    </xf>
    <xf numFmtId="49" fontId="19" fillId="0" borderId="11" xfId="0" applyNumberFormat="1" applyFont="1" applyFill="1" applyBorder="1" applyAlignment="1">
      <alignment horizontal="center" vertical="top"/>
    </xf>
    <xf numFmtId="0" fontId="19" fillId="0" borderId="11" xfId="0" applyFont="1" applyFill="1" applyBorder="1" applyAlignment="1">
      <alignment horizontal="center" vertical="top" wrapText="1"/>
    </xf>
    <xf numFmtId="2" fontId="19" fillId="0" borderId="11" xfId="0" applyNumberFormat="1" applyFont="1" applyFill="1" applyBorder="1" applyAlignment="1">
      <alignment horizontal="center" vertical="top" wrapText="1"/>
    </xf>
    <xf numFmtId="0" fontId="17" fillId="0" borderId="11" xfId="0" applyFont="1" applyFill="1" applyBorder="1" applyAlignment="1">
      <alignment horizontal="center" vertical="top" wrapText="1"/>
    </xf>
    <xf numFmtId="0" fontId="54" fillId="0" borderId="11" xfId="0" applyFont="1" applyBorder="1" applyAlignment="1">
      <alignment horizontal="center" vertical="center" wrapText="1"/>
    </xf>
    <xf numFmtId="0" fontId="10" fillId="11" borderId="11" xfId="0" applyFont="1" applyFill="1" applyBorder="1" applyAlignment="1">
      <alignment horizontal="center" vertical="center"/>
    </xf>
    <xf numFmtId="0" fontId="16" fillId="14" borderId="11" xfId="0" applyFont="1" applyFill="1" applyBorder="1" applyAlignment="1">
      <alignment horizontal="center" vertical="center"/>
    </xf>
    <xf numFmtId="0" fontId="54" fillId="0" borderId="11" xfId="0" applyFont="1" applyFill="1" applyBorder="1" applyAlignment="1">
      <alignment horizontal="center" vertical="center" wrapText="1"/>
    </xf>
    <xf numFmtId="0" fontId="10" fillId="12" borderId="11" xfId="0" applyFont="1" applyFill="1" applyBorder="1" applyAlignment="1">
      <alignment horizontal="center" vertical="center"/>
    </xf>
    <xf numFmtId="0" fontId="72" fillId="13" borderId="11" xfId="0" applyFont="1" applyFill="1" applyBorder="1" applyAlignment="1">
      <alignment horizontal="center" vertical="center" wrapText="1"/>
    </xf>
    <xf numFmtId="0" fontId="18" fillId="0" borderId="11" xfId="0" applyFont="1" applyFill="1" applyBorder="1" applyAlignment="1">
      <alignment horizontal="center" vertical="top" wrapText="1"/>
    </xf>
    <xf numFmtId="0" fontId="65" fillId="0" borderId="0" xfId="0" applyFont="1" applyBorder="1" applyAlignment="1">
      <alignment horizontal="center" vertical="top" wrapText="1"/>
    </xf>
    <xf numFmtId="1" fontId="64" fillId="0" borderId="11" xfId="0" applyNumberFormat="1" applyFont="1" applyFill="1" applyBorder="1" applyAlignment="1">
      <alignment horizontal="center" vertical="center"/>
    </xf>
    <xf numFmtId="0" fontId="64" fillId="0" borderId="11" xfId="0" applyFont="1" applyFill="1" applyBorder="1" applyAlignment="1">
      <alignment horizontal="center" vertical="center" wrapText="1"/>
    </xf>
    <xf numFmtId="0" fontId="64" fillId="0" borderId="11" xfId="2" applyFont="1" applyFill="1" applyBorder="1" applyAlignment="1">
      <alignment horizontal="center" vertical="center" wrapText="1"/>
    </xf>
    <xf numFmtId="0" fontId="46" fillId="0" borderId="11" xfId="0" applyFont="1" applyFill="1" applyBorder="1" applyAlignment="1">
      <alignment horizontal="center" vertical="center"/>
    </xf>
    <xf numFmtId="167" fontId="64" fillId="0" borderId="11" xfId="2" applyNumberFormat="1" applyFont="1" applyFill="1" applyBorder="1" applyAlignment="1">
      <alignment horizontal="center" vertical="center" wrapText="1"/>
    </xf>
    <xf numFmtId="164" fontId="14" fillId="0" borderId="11" xfId="4" applyNumberFormat="1" applyFont="1" applyFill="1" applyBorder="1" applyAlignment="1">
      <alignment horizontal="center" vertical="center" wrapText="1"/>
    </xf>
    <xf numFmtId="167" fontId="12" fillId="0" borderId="11" xfId="1" applyNumberFormat="1" applyFont="1" applyFill="1" applyBorder="1" applyAlignment="1">
      <alignment horizontal="center" vertical="center"/>
    </xf>
    <xf numFmtId="1" fontId="12" fillId="0" borderId="11" xfId="0" applyNumberFormat="1" applyFont="1" applyFill="1" applyBorder="1" applyAlignment="1">
      <alignment horizontal="center" vertical="center"/>
    </xf>
    <xf numFmtId="0" fontId="14" fillId="0" borderId="11" xfId="3" applyFont="1" applyFill="1" applyBorder="1" applyAlignment="1">
      <alignment horizontal="left" vertical="center"/>
    </xf>
    <xf numFmtId="0" fontId="14" fillId="0" borderId="11" xfId="4" applyFont="1" applyFill="1" applyBorder="1" applyAlignment="1">
      <alignment horizontal="left" vertical="center" wrapText="1"/>
    </xf>
    <xf numFmtId="0" fontId="14" fillId="0" borderId="19" xfId="4" applyFont="1" applyFill="1" applyBorder="1" applyAlignment="1">
      <alignment horizontal="left" vertical="center" wrapText="1"/>
    </xf>
    <xf numFmtId="1" fontId="12" fillId="0" borderId="23" xfId="0" applyNumberFormat="1" applyFont="1" applyFill="1" applyBorder="1" applyAlignment="1">
      <alignment horizontal="center" vertical="center"/>
    </xf>
    <xf numFmtId="1" fontId="12" fillId="0" borderId="7" xfId="0" applyNumberFormat="1" applyFont="1" applyFill="1" applyBorder="1" applyAlignment="1">
      <alignment horizontal="center" vertical="center"/>
    </xf>
    <xf numFmtId="1" fontId="12" fillId="0" borderId="25" xfId="0" applyNumberFormat="1" applyFont="1" applyFill="1" applyBorder="1" applyAlignment="1">
      <alignment horizontal="center" vertical="center"/>
    </xf>
    <xf numFmtId="0" fontId="14" fillId="0" borderId="23" xfId="3" applyFont="1" applyFill="1" applyBorder="1" applyAlignment="1">
      <alignment horizontal="left" vertical="center"/>
    </xf>
    <xf numFmtId="0" fontId="14" fillId="0" borderId="7" xfId="3" applyFont="1" applyFill="1" applyBorder="1" applyAlignment="1">
      <alignment horizontal="left" vertical="center"/>
    </xf>
    <xf numFmtId="0" fontId="14" fillId="0" borderId="25" xfId="3" applyFont="1" applyFill="1" applyBorder="1" applyAlignment="1">
      <alignment horizontal="left" vertical="center"/>
    </xf>
    <xf numFmtId="0" fontId="14" fillId="0" borderId="23" xfId="4" applyFont="1" applyFill="1" applyBorder="1" applyAlignment="1">
      <alignment horizontal="left" vertical="center" wrapText="1"/>
    </xf>
    <xf numFmtId="0" fontId="14" fillId="0" borderId="7" xfId="4" applyFont="1" applyFill="1" applyBorder="1" applyAlignment="1">
      <alignment horizontal="left" vertical="center" wrapText="1"/>
    </xf>
    <xf numFmtId="0" fontId="14" fillId="0" borderId="25" xfId="4" applyFont="1" applyFill="1" applyBorder="1" applyAlignment="1">
      <alignment horizontal="left" vertical="center" wrapText="1"/>
    </xf>
    <xf numFmtId="0" fontId="14" fillId="0" borderId="14" xfId="4" applyFont="1" applyFill="1" applyBorder="1" applyAlignment="1">
      <alignment horizontal="left" vertical="center" wrapText="1"/>
    </xf>
    <xf numFmtId="0" fontId="14" fillId="0" borderId="8" xfId="4" applyFont="1" applyFill="1" applyBorder="1" applyAlignment="1">
      <alignment horizontal="left" vertical="center" wrapText="1"/>
    </xf>
    <xf numFmtId="0" fontId="14" fillId="0" borderId="18" xfId="4" applyFont="1" applyFill="1" applyBorder="1" applyAlignment="1">
      <alignment horizontal="left" vertical="center" wrapText="1"/>
    </xf>
    <xf numFmtId="167" fontId="14" fillId="0" borderId="11" xfId="4" applyNumberFormat="1" applyFont="1" applyFill="1" applyBorder="1" applyAlignment="1">
      <alignment horizontal="center" vertical="center" wrapText="1"/>
    </xf>
    <xf numFmtId="0" fontId="12" fillId="0" borderId="11" xfId="0" applyFont="1" applyFill="1" applyBorder="1" applyAlignment="1">
      <alignment horizontal="left" vertical="center"/>
    </xf>
    <xf numFmtId="167" fontId="14" fillId="0" borderId="11" xfId="1" applyNumberFormat="1" applyFont="1" applyFill="1" applyBorder="1" applyAlignment="1">
      <alignment horizontal="center" vertical="center"/>
    </xf>
    <xf numFmtId="167" fontId="18" fillId="0" borderId="11" xfId="1" applyNumberFormat="1" applyFont="1" applyFill="1" applyBorder="1" applyAlignment="1">
      <alignment horizontal="center" vertical="center"/>
    </xf>
    <xf numFmtId="167" fontId="14" fillId="4" borderId="11" xfId="1" applyNumberFormat="1" applyFont="1" applyFill="1" applyBorder="1" applyAlignment="1">
      <alignment horizontal="center" vertical="center"/>
    </xf>
    <xf numFmtId="1" fontId="18" fillId="4" borderId="33" xfId="0" applyNumberFormat="1" applyFont="1" applyFill="1" applyBorder="1" applyAlignment="1">
      <alignment horizontal="center" vertical="center"/>
    </xf>
    <xf numFmtId="0" fontId="14" fillId="4" borderId="11" xfId="3" applyFont="1" applyFill="1" applyBorder="1" applyAlignment="1">
      <alignment horizontal="left" vertical="center"/>
    </xf>
    <xf numFmtId="164" fontId="18" fillId="4" borderId="11" xfId="1" applyNumberFormat="1" applyFont="1" applyFill="1" applyBorder="1" applyAlignment="1">
      <alignment horizontal="center" vertical="center"/>
    </xf>
    <xf numFmtId="1" fontId="18" fillId="4" borderId="11" xfId="0" applyNumberFormat="1" applyFont="1" applyFill="1" applyBorder="1" applyAlignment="1">
      <alignment horizontal="center" vertical="center"/>
    </xf>
    <xf numFmtId="0" fontId="18" fillId="4" borderId="11" xfId="0" applyFont="1" applyFill="1" applyBorder="1" applyAlignment="1">
      <alignment horizontal="left" vertical="center"/>
    </xf>
    <xf numFmtId="0" fontId="18" fillId="4" borderId="11" xfId="0" applyFont="1" applyFill="1" applyBorder="1" applyAlignment="1">
      <alignment horizontal="left" vertical="center" wrapText="1"/>
    </xf>
    <xf numFmtId="164" fontId="18" fillId="4" borderId="18" xfId="1" applyNumberFormat="1" applyFont="1" applyFill="1" applyBorder="1" applyAlignment="1">
      <alignment horizontal="left" vertical="center" wrapText="1"/>
    </xf>
    <xf numFmtId="164" fontId="18" fillId="4" borderId="19" xfId="1" applyNumberFormat="1" applyFont="1" applyFill="1" applyBorder="1" applyAlignment="1">
      <alignment horizontal="left" vertical="center" wrapText="1"/>
    </xf>
    <xf numFmtId="1" fontId="18" fillId="4" borderId="25" xfId="0" applyNumberFormat="1" applyFont="1" applyFill="1" applyBorder="1" applyAlignment="1">
      <alignment horizontal="center" vertical="center"/>
    </xf>
    <xf numFmtId="0" fontId="18" fillId="4" borderId="25" xfId="0" applyFont="1" applyFill="1" applyBorder="1" applyAlignment="1">
      <alignment horizontal="left" vertical="center"/>
    </xf>
    <xf numFmtId="0" fontId="18" fillId="4" borderId="25" xfId="0" applyFont="1" applyFill="1" applyBorder="1" applyAlignment="1">
      <alignment horizontal="left" vertical="center" wrapText="1"/>
    </xf>
    <xf numFmtId="1" fontId="12" fillId="4" borderId="45" xfId="0" applyNumberFormat="1" applyFont="1" applyFill="1" applyBorder="1" applyAlignment="1">
      <alignment horizontal="center" vertical="center"/>
    </xf>
    <xf numFmtId="1" fontId="12" fillId="4" borderId="41" xfId="0" applyNumberFormat="1" applyFont="1" applyFill="1" applyBorder="1" applyAlignment="1">
      <alignment horizontal="center" vertical="center"/>
    </xf>
    <xf numFmtId="0" fontId="14" fillId="4" borderId="23" xfId="3" applyFont="1" applyFill="1" applyBorder="1" applyAlignment="1">
      <alignment horizontal="left" vertical="center"/>
    </xf>
    <xf numFmtId="0" fontId="14" fillId="4" borderId="25" xfId="3" applyFont="1" applyFill="1" applyBorder="1" applyAlignment="1">
      <alignment horizontal="left" vertical="center"/>
    </xf>
    <xf numFmtId="0" fontId="14" fillId="4" borderId="23" xfId="4" applyFont="1" applyFill="1" applyBorder="1" applyAlignment="1">
      <alignment horizontal="left" vertical="center" wrapText="1"/>
    </xf>
    <xf numFmtId="0" fontId="14" fillId="4" borderId="25" xfId="4" applyFont="1" applyFill="1" applyBorder="1" applyAlignment="1">
      <alignment horizontal="left" vertical="center" wrapText="1"/>
    </xf>
    <xf numFmtId="0" fontId="14" fillId="4" borderId="14" xfId="4" applyFont="1" applyFill="1" applyBorder="1" applyAlignment="1">
      <alignment horizontal="left" vertical="center" wrapText="1"/>
    </xf>
    <xf numFmtId="0" fontId="14" fillId="4" borderId="18" xfId="4" applyFont="1" applyFill="1" applyBorder="1" applyAlignment="1">
      <alignment horizontal="left" vertical="center" wrapText="1"/>
    </xf>
    <xf numFmtId="0" fontId="14" fillId="4" borderId="11" xfId="4" applyFont="1" applyFill="1" applyBorder="1" applyAlignment="1">
      <alignment horizontal="center" vertical="center" wrapText="1"/>
    </xf>
    <xf numFmtId="164" fontId="14" fillId="4" borderId="11" xfId="4" applyNumberFormat="1" applyFont="1" applyFill="1" applyBorder="1" applyAlignment="1">
      <alignment horizontal="center" vertical="center" wrapText="1"/>
    </xf>
    <xf numFmtId="1" fontId="18" fillId="4" borderId="45" xfId="0" applyNumberFormat="1" applyFont="1" applyFill="1" applyBorder="1" applyAlignment="1">
      <alignment horizontal="center" vertical="center"/>
    </xf>
    <xf numFmtId="1" fontId="18" fillId="4" borderId="41" xfId="0" applyNumberFormat="1" applyFont="1" applyFill="1" applyBorder="1" applyAlignment="1">
      <alignment horizontal="center" vertical="center"/>
    </xf>
    <xf numFmtId="0" fontId="18" fillId="4" borderId="23" xfId="0" applyFont="1" applyFill="1" applyBorder="1" applyAlignment="1">
      <alignment horizontal="left" vertical="center"/>
    </xf>
    <xf numFmtId="0" fontId="18" fillId="4" borderId="23" xfId="0" applyFont="1" applyFill="1" applyBorder="1" applyAlignment="1">
      <alignment horizontal="left" vertical="center" wrapText="1"/>
    </xf>
    <xf numFmtId="164" fontId="18" fillId="4" borderId="14" xfId="1" applyNumberFormat="1" applyFont="1" applyFill="1" applyBorder="1" applyAlignment="1">
      <alignment horizontal="left" vertical="center" wrapText="1"/>
    </xf>
    <xf numFmtId="164" fontId="14" fillId="4" borderId="14" xfId="4" applyNumberFormat="1" applyFont="1" applyFill="1" applyBorder="1" applyAlignment="1">
      <alignment horizontal="left" vertical="center" wrapText="1"/>
    </xf>
    <xf numFmtId="164" fontId="14" fillId="4" borderId="18" xfId="4" applyNumberFormat="1" applyFont="1" applyFill="1" applyBorder="1" applyAlignment="1">
      <alignment horizontal="left" vertical="center" wrapText="1"/>
    </xf>
    <xf numFmtId="1" fontId="14" fillId="4" borderId="23" xfId="3" applyNumberFormat="1" applyFont="1" applyFill="1" applyBorder="1" applyAlignment="1">
      <alignment horizontal="left" vertical="center"/>
    </xf>
    <xf numFmtId="1" fontId="14" fillId="4" borderId="25" xfId="3" applyNumberFormat="1" applyFont="1" applyFill="1" applyBorder="1" applyAlignment="1">
      <alignment horizontal="left" vertical="center"/>
    </xf>
    <xf numFmtId="2" fontId="14" fillId="4" borderId="23" xfId="4" applyNumberFormat="1" applyFont="1" applyFill="1" applyBorder="1" applyAlignment="1">
      <alignment horizontal="left" vertical="center" wrapText="1"/>
    </xf>
    <xf numFmtId="2" fontId="14" fillId="4" borderId="25" xfId="4" applyNumberFormat="1" applyFont="1" applyFill="1" applyBorder="1" applyAlignment="1">
      <alignment horizontal="left" vertical="center" wrapText="1"/>
    </xf>
    <xf numFmtId="2" fontId="14" fillId="4" borderId="14" xfId="4" applyNumberFormat="1" applyFont="1" applyFill="1" applyBorder="1" applyAlignment="1">
      <alignment horizontal="left" vertical="center" wrapText="1"/>
    </xf>
    <xf numFmtId="2" fontId="14" fillId="4" borderId="18" xfId="4" applyNumberFormat="1" applyFont="1" applyFill="1" applyBorder="1" applyAlignment="1">
      <alignment horizontal="left" vertical="center" wrapText="1"/>
    </xf>
    <xf numFmtId="167" fontId="18" fillId="4" borderId="11" xfId="1" applyNumberFormat="1" applyFont="1" applyFill="1" applyBorder="1" applyAlignment="1">
      <alignment horizontal="center" vertical="center"/>
    </xf>
    <xf numFmtId="1" fontId="14" fillId="4" borderId="45" xfId="0" applyNumberFormat="1" applyFont="1" applyFill="1" applyBorder="1" applyAlignment="1">
      <alignment horizontal="center" vertical="center" wrapText="1"/>
    </xf>
    <xf numFmtId="1" fontId="14" fillId="4" borderId="46" xfId="0" applyNumberFormat="1" applyFont="1" applyFill="1" applyBorder="1" applyAlignment="1">
      <alignment horizontal="center" vertical="center" wrapText="1"/>
    </xf>
    <xf numFmtId="1" fontId="14" fillId="4" borderId="41" xfId="0" applyNumberFormat="1" applyFont="1" applyFill="1" applyBorder="1" applyAlignment="1">
      <alignment horizontal="center" vertical="center" wrapText="1"/>
    </xf>
    <xf numFmtId="0" fontId="18" fillId="4" borderId="7" xfId="0" applyFont="1" applyFill="1" applyBorder="1" applyAlignment="1">
      <alignment horizontal="left" vertical="center"/>
    </xf>
    <xf numFmtId="0" fontId="18" fillId="4" borderId="7" xfId="0" applyFont="1" applyFill="1" applyBorder="1" applyAlignment="1">
      <alignment horizontal="left" vertical="center" wrapText="1"/>
    </xf>
    <xf numFmtId="164" fontId="18" fillId="4" borderId="8" xfId="1" applyNumberFormat="1" applyFont="1" applyFill="1" applyBorder="1" applyAlignment="1">
      <alignment horizontal="left" vertical="center" wrapText="1"/>
    </xf>
    <xf numFmtId="0" fontId="14" fillId="0" borderId="7" xfId="0" applyFont="1" applyFill="1" applyBorder="1" applyAlignment="1">
      <alignment horizontal="left" vertical="center" wrapText="1"/>
    </xf>
    <xf numFmtId="0" fontId="14" fillId="0" borderId="25" xfId="0" applyFont="1" applyFill="1" applyBorder="1" applyAlignment="1">
      <alignment horizontal="left" vertical="center" wrapText="1"/>
    </xf>
    <xf numFmtId="0" fontId="14" fillId="0" borderId="14" xfId="4" applyFont="1" applyFill="1" applyBorder="1" applyAlignment="1">
      <alignment horizontal="left" vertical="center"/>
    </xf>
    <xf numFmtId="0" fontId="14" fillId="0" borderId="8" xfId="4" applyFont="1" applyFill="1" applyBorder="1" applyAlignment="1">
      <alignment horizontal="left" vertical="center"/>
    </xf>
    <xf numFmtId="0" fontId="14" fillId="0" borderId="8" xfId="0" applyFont="1" applyFill="1" applyBorder="1" applyAlignment="1">
      <alignment horizontal="left" vertical="center"/>
    </xf>
    <xf numFmtId="0" fontId="14" fillId="0" borderId="18" xfId="0" applyFont="1" applyFill="1" applyBorder="1" applyAlignment="1">
      <alignment horizontal="left" vertical="center"/>
    </xf>
    <xf numFmtId="164" fontId="14" fillId="0" borderId="11" xfId="4" applyNumberFormat="1" applyFont="1" applyFill="1" applyBorder="1" applyAlignment="1">
      <alignment horizontal="center" vertical="center"/>
    </xf>
    <xf numFmtId="0" fontId="14" fillId="0" borderId="11" xfId="0" applyFont="1" applyFill="1" applyBorder="1" applyAlignment="1">
      <alignment horizontal="center" vertical="center"/>
    </xf>
    <xf numFmtId="167" fontId="14" fillId="0" borderId="11" xfId="1" applyNumberFormat="1" applyFont="1" applyBorder="1" applyAlignment="1">
      <alignment horizontal="center" vertical="center"/>
    </xf>
    <xf numFmtId="1" fontId="12" fillId="0" borderId="39" xfId="0" applyNumberFormat="1" applyFont="1" applyFill="1" applyBorder="1" applyAlignment="1">
      <alignment horizontal="center" vertical="center"/>
    </xf>
    <xf numFmtId="0" fontId="14" fillId="0" borderId="23" xfId="3" applyFont="1" applyFill="1" applyBorder="1" applyAlignment="1">
      <alignment horizontal="left" vertical="center" wrapText="1"/>
    </xf>
    <xf numFmtId="0" fontId="14" fillId="0" borderId="25" xfId="3" applyFont="1" applyFill="1" applyBorder="1" applyAlignment="1">
      <alignment horizontal="left" vertical="center" wrapText="1"/>
    </xf>
    <xf numFmtId="0" fontId="14" fillId="0" borderId="14" xfId="3" applyFont="1" applyFill="1" applyBorder="1" applyAlignment="1">
      <alignment horizontal="left" vertical="center" wrapText="1"/>
    </xf>
    <xf numFmtId="0" fontId="14" fillId="0" borderId="18" xfId="3" applyFont="1" applyFill="1" applyBorder="1" applyAlignment="1">
      <alignment horizontal="left" vertical="center" wrapText="1"/>
    </xf>
    <xf numFmtId="0" fontId="14" fillId="0" borderId="11" xfId="3" applyFont="1" applyFill="1" applyBorder="1" applyAlignment="1">
      <alignment horizontal="left" vertical="center" wrapText="1"/>
    </xf>
    <xf numFmtId="0" fontId="14" fillId="0" borderId="19" xfId="3" applyFont="1" applyFill="1" applyBorder="1" applyAlignment="1">
      <alignment horizontal="left" vertical="center" wrapText="1"/>
    </xf>
    <xf numFmtId="0" fontId="14" fillId="0" borderId="20" xfId="3" applyFont="1" applyFill="1" applyBorder="1" applyAlignment="1">
      <alignment horizontal="left" vertical="center"/>
    </xf>
    <xf numFmtId="0" fontId="14" fillId="0" borderId="23" xfId="4" applyFont="1" applyFill="1" applyBorder="1" applyAlignment="1">
      <alignment horizontal="left" vertical="top" wrapText="1"/>
    </xf>
    <xf numFmtId="0" fontId="14" fillId="0" borderId="39" xfId="4" applyFont="1" applyFill="1" applyBorder="1" applyAlignment="1">
      <alignment horizontal="left" vertical="top" wrapText="1"/>
    </xf>
    <xf numFmtId="0" fontId="14" fillId="0" borderId="21" xfId="4" applyFont="1" applyFill="1" applyBorder="1" applyAlignment="1">
      <alignment horizontal="left" vertical="center" wrapText="1"/>
    </xf>
    <xf numFmtId="1" fontId="18" fillId="4" borderId="46" xfId="0" applyNumberFormat="1" applyFont="1" applyFill="1" applyBorder="1" applyAlignment="1">
      <alignment horizontal="center" vertical="center"/>
    </xf>
    <xf numFmtId="0" fontId="14" fillId="4" borderId="7" xfId="3" applyFont="1" applyFill="1" applyBorder="1" applyAlignment="1">
      <alignment horizontal="left" vertical="center"/>
    </xf>
    <xf numFmtId="0" fontId="66" fillId="4" borderId="11" xfId="0" applyFont="1" applyFill="1" applyBorder="1" applyAlignment="1">
      <alignment horizontal="left" vertical="center" wrapText="1"/>
    </xf>
    <xf numFmtId="0" fontId="12" fillId="4" borderId="23" xfId="5" applyFont="1" applyFill="1" applyBorder="1" applyAlignment="1">
      <alignment horizontal="left" vertical="center" wrapText="1"/>
    </xf>
    <xf numFmtId="0" fontId="12" fillId="4" borderId="25" xfId="5" applyFont="1" applyFill="1" applyBorder="1" applyAlignment="1">
      <alignment horizontal="left" vertical="center" wrapText="1"/>
    </xf>
    <xf numFmtId="167" fontId="12" fillId="4" borderId="23" xfId="5" applyNumberFormat="1" applyFont="1" applyFill="1" applyBorder="1" applyAlignment="1">
      <alignment horizontal="left" vertical="center" wrapText="1"/>
    </xf>
    <xf numFmtId="167" fontId="12" fillId="4" borderId="25" xfId="5" applyNumberFormat="1" applyFont="1" applyFill="1" applyBorder="1" applyAlignment="1">
      <alignment horizontal="left" vertical="center" wrapText="1"/>
    </xf>
    <xf numFmtId="164" fontId="12" fillId="4" borderId="14" xfId="1" applyNumberFormat="1" applyFont="1" applyFill="1" applyBorder="1" applyAlignment="1">
      <alignment horizontal="left" vertical="center" wrapText="1"/>
    </xf>
    <xf numFmtId="164" fontId="12" fillId="4" borderId="18" xfId="1" applyNumberFormat="1" applyFont="1" applyFill="1" applyBorder="1" applyAlignment="1">
      <alignment horizontal="left" vertical="center" wrapText="1"/>
    </xf>
    <xf numFmtId="164" fontId="12" fillId="4" borderId="11" xfId="1" applyNumberFormat="1" applyFont="1" applyFill="1" applyBorder="1" applyAlignment="1">
      <alignment horizontal="center" vertical="center" wrapText="1"/>
    </xf>
    <xf numFmtId="1" fontId="12" fillId="4" borderId="11" xfId="0" applyNumberFormat="1" applyFont="1" applyFill="1" applyBorder="1" applyAlignment="1">
      <alignment horizontal="center" vertical="center"/>
    </xf>
    <xf numFmtId="0" fontId="14" fillId="4" borderId="11" xfId="4" applyFont="1" applyFill="1" applyBorder="1" applyAlignment="1">
      <alignment horizontal="left" vertical="center" wrapText="1"/>
    </xf>
    <xf numFmtId="0" fontId="14" fillId="4" borderId="19" xfId="4" applyFont="1" applyFill="1" applyBorder="1" applyAlignment="1">
      <alignment horizontal="left" vertical="center" wrapText="1"/>
    </xf>
    <xf numFmtId="164" fontId="12" fillId="4" borderId="19" xfId="1" applyNumberFormat="1" applyFont="1" applyFill="1" applyBorder="1" applyAlignment="1">
      <alignment horizontal="center" vertical="center" wrapText="1"/>
    </xf>
    <xf numFmtId="164" fontId="12" fillId="4" borderId="13" xfId="1" applyNumberFormat="1" applyFont="1" applyFill="1" applyBorder="1" applyAlignment="1">
      <alignment horizontal="center" vertical="center" wrapText="1"/>
    </xf>
    <xf numFmtId="164" fontId="12" fillId="0" borderId="11" xfId="1" applyNumberFormat="1" applyFont="1" applyFill="1" applyBorder="1" applyAlignment="1">
      <alignment horizontal="center" vertical="center" wrapText="1"/>
    </xf>
    <xf numFmtId="164" fontId="12" fillId="4" borderId="11" xfId="1" applyNumberFormat="1" applyFont="1" applyFill="1" applyBorder="1" applyAlignment="1">
      <alignment horizontal="left" vertical="center" wrapText="1"/>
    </xf>
    <xf numFmtId="1" fontId="12" fillId="4" borderId="11" xfId="1" applyNumberFormat="1" applyFont="1" applyFill="1" applyBorder="1" applyAlignment="1">
      <alignment horizontal="center" vertical="center" wrapText="1"/>
    </xf>
    <xf numFmtId="167" fontId="12" fillId="0" borderId="11" xfId="1" applyNumberFormat="1" applyFont="1" applyFill="1" applyBorder="1" applyAlignment="1">
      <alignment horizontal="center" vertical="center" wrapText="1"/>
    </xf>
  </cellXfs>
  <cellStyles count="11">
    <cellStyle name="Excel Built-in Normal" xfId="7"/>
    <cellStyle name="Обычный" xfId="0" builtinId="0"/>
    <cellStyle name="Обычный 2" xfId="6"/>
    <cellStyle name="Обычный 3" xfId="2"/>
    <cellStyle name="Обычный 3 10 2 2" xfId="10"/>
    <cellStyle name="Обычный 5" xfId="4"/>
    <cellStyle name="Обычный 5 16 10" xfId="8"/>
    <cellStyle name="Обычный 5 16 6 2" xfId="9"/>
    <cellStyle name="Обычный 7" xfId="3"/>
    <cellStyle name="Обычный_Прил 1" xfId="5"/>
    <cellStyle name="Финансовый" xfId="1" builtinId="3"/>
  </cellStyles>
  <dxfs count="0"/>
  <tableStyles count="0" defaultTableStyle="TableStyleMedium2" defaultPivotStyle="PivotStyleLight16"/>
  <colors>
    <mruColors>
      <color rgb="FFCCFFCC"/>
      <color rgb="FFCCECFF"/>
      <color rgb="FFFF99FF"/>
      <color rgb="FFFFCCFF"/>
      <color rgb="FFFF00FF"/>
      <color rgb="FF66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BD770"/>
  <sheetViews>
    <sheetView view="pageBreakPreview" topLeftCell="A516" zoomScale="66" zoomScaleNormal="40" zoomScaleSheetLayoutView="66" workbookViewId="0">
      <selection activeCell="R509" sqref="C499:R509"/>
    </sheetView>
  </sheetViews>
  <sheetFormatPr defaultRowHeight="20.25"/>
  <cols>
    <col min="1" max="1" width="17.28515625" customWidth="1"/>
    <col min="2" max="2" width="15.28515625" customWidth="1"/>
    <col min="3" max="3" width="47.7109375" customWidth="1"/>
    <col min="4" max="4" width="21.140625" customWidth="1"/>
    <col min="5" max="5" width="14.7109375" customWidth="1"/>
    <col min="6" max="6" width="21.140625" style="302" customWidth="1"/>
    <col min="7" max="7" width="15.42578125" style="302" customWidth="1"/>
    <col min="8" max="8" width="17.85546875" style="302" customWidth="1"/>
    <col min="9" max="9" width="21.5703125" style="302" customWidth="1"/>
    <col min="10" max="10" width="20.140625" style="302" customWidth="1"/>
    <col min="11" max="11" width="15.42578125" style="302" customWidth="1"/>
    <col min="12" max="12" width="27.7109375" style="327" customWidth="1"/>
    <col min="13" max="13" width="17" style="302" customWidth="1"/>
    <col min="14" max="14" width="15.42578125" customWidth="1"/>
    <col min="15" max="15" width="23.42578125" customWidth="1"/>
    <col min="16" max="16" width="21.28515625" style="296" customWidth="1"/>
    <col min="17" max="17" width="15.42578125" customWidth="1"/>
    <col min="18" max="18" width="23.7109375" style="283" customWidth="1"/>
    <col min="19" max="20" width="15.42578125" customWidth="1"/>
    <col min="21" max="21" width="20.42578125" customWidth="1"/>
    <col min="22" max="22" width="19.85546875" style="296" customWidth="1"/>
    <col min="23" max="23" width="15.42578125" customWidth="1"/>
    <col min="24" max="24" width="21.5703125" style="283" customWidth="1"/>
    <col min="25" max="26" width="15.42578125" customWidth="1"/>
    <col min="27" max="27" width="21.85546875" customWidth="1"/>
    <col min="28" max="28" width="17.7109375" style="296" customWidth="1"/>
    <col min="29" max="29" width="15.42578125" customWidth="1"/>
    <col min="30" max="30" width="24.28515625" style="298" customWidth="1"/>
    <col min="31" max="32" width="15.42578125" customWidth="1"/>
    <col min="33" max="33" width="20.5703125" customWidth="1"/>
    <col min="34" max="34" width="19" style="296" customWidth="1"/>
    <col min="35" max="35" width="15.42578125" customWidth="1"/>
    <col min="36" max="36" width="22.85546875" style="298" customWidth="1"/>
    <col min="37" max="38" width="15.42578125" customWidth="1"/>
    <col min="39" max="39" width="21.42578125" customWidth="1"/>
    <col min="40" max="40" width="19.7109375" style="296" customWidth="1"/>
    <col min="41" max="41" width="15.42578125" customWidth="1"/>
    <col min="42" max="42" width="22.140625" customWidth="1"/>
    <col min="43" max="43" width="18.42578125" style="278" customWidth="1"/>
    <col min="44" max="44" width="15.42578125" style="278" customWidth="1"/>
    <col min="45" max="75" width="15.42578125" customWidth="1"/>
  </cols>
  <sheetData>
    <row r="1" spans="1:51" ht="62.25" customHeight="1">
      <c r="A1" s="998" t="s">
        <v>475</v>
      </c>
      <c r="B1" s="998"/>
      <c r="C1" s="998"/>
      <c r="D1" s="998"/>
      <c r="E1" s="998"/>
      <c r="F1" s="998"/>
      <c r="G1" s="998"/>
      <c r="H1" s="998"/>
      <c r="I1" s="998"/>
      <c r="J1" s="998"/>
      <c r="K1" s="998"/>
      <c r="L1" s="998"/>
      <c r="M1" s="998"/>
      <c r="N1" s="998"/>
      <c r="O1" s="998"/>
      <c r="P1" s="998"/>
      <c r="Q1" s="998"/>
      <c r="R1" s="998"/>
      <c r="S1" s="998"/>
      <c r="T1" s="998"/>
      <c r="U1" s="998"/>
      <c r="V1" s="998"/>
      <c r="W1" s="998"/>
      <c r="X1" s="998"/>
      <c r="Y1" s="998"/>
      <c r="Z1" s="998"/>
      <c r="AA1" s="998"/>
      <c r="AB1" s="998"/>
      <c r="AC1" s="998"/>
      <c r="AD1" s="998"/>
      <c r="AE1" s="998"/>
      <c r="AF1" s="998"/>
      <c r="AG1" s="998"/>
      <c r="AH1" s="998"/>
      <c r="AI1" s="998"/>
      <c r="AJ1" s="998"/>
      <c r="AK1" s="998"/>
      <c r="AL1" s="998"/>
      <c r="AM1" s="998"/>
      <c r="AN1" s="998"/>
      <c r="AO1" s="998"/>
      <c r="AP1" s="998"/>
      <c r="AQ1" s="998"/>
    </row>
    <row r="2" spans="1:51" ht="29.25" customHeight="1">
      <c r="A2" s="882" t="s">
        <v>476</v>
      </c>
      <c r="B2" s="883" t="s">
        <v>2</v>
      </c>
      <c r="C2" s="884" t="s">
        <v>477</v>
      </c>
      <c r="D2" s="884" t="s">
        <v>478</v>
      </c>
      <c r="E2" s="885" t="s">
        <v>479</v>
      </c>
      <c r="F2" s="885"/>
      <c r="G2" s="889" t="s">
        <v>5</v>
      </c>
      <c r="H2" s="889"/>
      <c r="I2" s="889"/>
      <c r="J2" s="889"/>
      <c r="K2" s="889"/>
      <c r="L2" s="889"/>
      <c r="M2" s="889" t="s">
        <v>6</v>
      </c>
      <c r="N2" s="889"/>
      <c r="O2" s="889"/>
      <c r="P2" s="889"/>
      <c r="Q2" s="889"/>
      <c r="R2" s="889"/>
      <c r="S2" s="889" t="s">
        <v>7</v>
      </c>
      <c r="T2" s="889"/>
      <c r="U2" s="889"/>
      <c r="V2" s="889"/>
      <c r="W2" s="889"/>
      <c r="X2" s="889"/>
      <c r="Y2" s="889" t="s">
        <v>8</v>
      </c>
      <c r="Z2" s="889"/>
      <c r="AA2" s="889"/>
      <c r="AB2" s="889"/>
      <c r="AC2" s="889"/>
      <c r="AD2" s="889"/>
      <c r="AE2" s="889" t="s">
        <v>9</v>
      </c>
      <c r="AF2" s="889"/>
      <c r="AG2" s="889"/>
      <c r="AH2" s="889"/>
      <c r="AI2" s="889"/>
      <c r="AJ2" s="889"/>
      <c r="AK2" s="889" t="s">
        <v>10</v>
      </c>
      <c r="AL2" s="889"/>
      <c r="AM2" s="889"/>
      <c r="AN2" s="889"/>
      <c r="AO2" s="889"/>
      <c r="AP2" s="889"/>
      <c r="AQ2" s="999" t="s">
        <v>3501</v>
      </c>
    </row>
    <row r="3" spans="1:51" ht="28.5" customHeight="1">
      <c r="A3" s="882"/>
      <c r="B3" s="883"/>
      <c r="C3" s="884"/>
      <c r="D3" s="884"/>
      <c r="E3" s="885"/>
      <c r="F3" s="885"/>
      <c r="G3" s="890" t="s">
        <v>11</v>
      </c>
      <c r="H3" s="890"/>
      <c r="I3" s="890" t="s">
        <v>12</v>
      </c>
      <c r="J3" s="890" t="s">
        <v>13</v>
      </c>
      <c r="K3" s="890"/>
      <c r="L3" s="608"/>
      <c r="M3" s="890" t="s">
        <v>11</v>
      </c>
      <c r="N3" s="890"/>
      <c r="O3" s="890" t="s">
        <v>12</v>
      </c>
      <c r="P3" s="890" t="s">
        <v>13</v>
      </c>
      <c r="Q3" s="890"/>
      <c r="R3" s="609"/>
      <c r="S3" s="890" t="s">
        <v>11</v>
      </c>
      <c r="T3" s="890"/>
      <c r="U3" s="890" t="s">
        <v>12</v>
      </c>
      <c r="V3" s="890" t="s">
        <v>13</v>
      </c>
      <c r="W3" s="890"/>
      <c r="X3" s="609"/>
      <c r="Y3" s="890" t="s">
        <v>11</v>
      </c>
      <c r="Z3" s="890"/>
      <c r="AA3" s="890" t="s">
        <v>12</v>
      </c>
      <c r="AB3" s="890" t="s">
        <v>13</v>
      </c>
      <c r="AC3" s="890"/>
      <c r="AD3" s="609"/>
      <c r="AE3" s="890" t="s">
        <v>11</v>
      </c>
      <c r="AF3" s="890"/>
      <c r="AG3" s="890" t="s">
        <v>12</v>
      </c>
      <c r="AH3" s="890" t="s">
        <v>13</v>
      </c>
      <c r="AI3" s="890"/>
      <c r="AJ3" s="609"/>
      <c r="AK3" s="890" t="s">
        <v>11</v>
      </c>
      <c r="AL3" s="890"/>
      <c r="AM3" s="890" t="s">
        <v>12</v>
      </c>
      <c r="AN3" s="890" t="s">
        <v>13</v>
      </c>
      <c r="AO3" s="890"/>
      <c r="AP3" s="609"/>
      <c r="AQ3" s="999"/>
    </row>
    <row r="4" spans="1:51" ht="33.75" customHeight="1">
      <c r="A4" s="882"/>
      <c r="B4" s="883"/>
      <c r="C4" s="884"/>
      <c r="D4" s="884"/>
      <c r="E4" s="414" t="s">
        <v>17</v>
      </c>
      <c r="F4" s="610" t="s">
        <v>32</v>
      </c>
      <c r="G4" s="535" t="s">
        <v>19</v>
      </c>
      <c r="H4" s="535" t="s">
        <v>20</v>
      </c>
      <c r="I4" s="890"/>
      <c r="J4" s="126" t="s">
        <v>21</v>
      </c>
      <c r="K4" s="127" t="s">
        <v>22</v>
      </c>
      <c r="L4" s="611" t="s">
        <v>23</v>
      </c>
      <c r="M4" s="535" t="s">
        <v>19</v>
      </c>
      <c r="N4" s="535" t="s">
        <v>20</v>
      </c>
      <c r="O4" s="890"/>
      <c r="P4" s="284" t="s">
        <v>21</v>
      </c>
      <c r="Q4" s="127" t="s">
        <v>22</v>
      </c>
      <c r="R4" s="611" t="s">
        <v>23</v>
      </c>
      <c r="S4" s="535" t="s">
        <v>19</v>
      </c>
      <c r="T4" s="535" t="s">
        <v>20</v>
      </c>
      <c r="U4" s="890"/>
      <c r="V4" s="284" t="s">
        <v>21</v>
      </c>
      <c r="W4" s="127" t="s">
        <v>22</v>
      </c>
      <c r="X4" s="611" t="s">
        <v>23</v>
      </c>
      <c r="Y4" s="535" t="s">
        <v>19</v>
      </c>
      <c r="Z4" s="535" t="s">
        <v>20</v>
      </c>
      <c r="AA4" s="890"/>
      <c r="AB4" s="284" t="s">
        <v>21</v>
      </c>
      <c r="AC4" s="127" t="s">
        <v>22</v>
      </c>
      <c r="AD4" s="612" t="s">
        <v>23</v>
      </c>
      <c r="AE4" s="535" t="s">
        <v>19</v>
      </c>
      <c r="AF4" s="535" t="s">
        <v>20</v>
      </c>
      <c r="AG4" s="890"/>
      <c r="AH4" s="284" t="s">
        <v>21</v>
      </c>
      <c r="AI4" s="128" t="s">
        <v>22</v>
      </c>
      <c r="AJ4" s="612" t="s">
        <v>23</v>
      </c>
      <c r="AK4" s="535" t="s">
        <v>19</v>
      </c>
      <c r="AL4" s="535" t="s">
        <v>20</v>
      </c>
      <c r="AM4" s="890"/>
      <c r="AN4" s="284" t="s">
        <v>21</v>
      </c>
      <c r="AO4" s="128" t="s">
        <v>22</v>
      </c>
      <c r="AP4" s="612" t="s">
        <v>23</v>
      </c>
      <c r="AQ4" s="999"/>
      <c r="AR4" s="278">
        <v>2020</v>
      </c>
      <c r="AS4" s="278">
        <v>2021</v>
      </c>
      <c r="AT4" s="278">
        <v>2022</v>
      </c>
      <c r="AU4" s="278">
        <v>2023</v>
      </c>
      <c r="AV4" s="278">
        <v>2024</v>
      </c>
      <c r="AW4" s="278" t="s">
        <v>113</v>
      </c>
      <c r="AX4" s="278"/>
      <c r="AY4" s="278"/>
    </row>
    <row r="5" spans="1:51" ht="23.25" customHeight="1">
      <c r="A5" s="510">
        <v>1</v>
      </c>
      <c r="B5" s="510">
        <v>2</v>
      </c>
      <c r="C5" s="510">
        <v>3</v>
      </c>
      <c r="D5" s="510">
        <v>4</v>
      </c>
      <c r="E5" s="510">
        <v>5</v>
      </c>
      <c r="F5" s="510">
        <v>6</v>
      </c>
      <c r="G5" s="510">
        <v>7</v>
      </c>
      <c r="H5" s="510">
        <v>8</v>
      </c>
      <c r="I5" s="510">
        <v>9</v>
      </c>
      <c r="J5" s="510">
        <v>10</v>
      </c>
      <c r="K5" s="510">
        <v>11</v>
      </c>
      <c r="L5" s="510">
        <v>12</v>
      </c>
      <c r="M5" s="510">
        <v>13</v>
      </c>
      <c r="N5" s="510">
        <v>14</v>
      </c>
      <c r="O5" s="510">
        <v>15</v>
      </c>
      <c r="P5" s="510">
        <v>16</v>
      </c>
      <c r="Q5" s="510">
        <v>17</v>
      </c>
      <c r="R5" s="510">
        <v>18</v>
      </c>
      <c r="S5" s="510">
        <v>19</v>
      </c>
      <c r="T5" s="510">
        <v>20</v>
      </c>
      <c r="U5" s="510">
        <v>21</v>
      </c>
      <c r="V5" s="510">
        <v>22</v>
      </c>
      <c r="W5" s="510">
        <v>23</v>
      </c>
      <c r="X5" s="510">
        <v>24</v>
      </c>
      <c r="Y5" s="510">
        <v>25</v>
      </c>
      <c r="Z5" s="510">
        <v>26</v>
      </c>
      <c r="AA5" s="510">
        <v>27</v>
      </c>
      <c r="AB5" s="510">
        <v>28</v>
      </c>
      <c r="AC5" s="510">
        <v>29</v>
      </c>
      <c r="AD5" s="510">
        <v>30</v>
      </c>
      <c r="AE5" s="510">
        <v>31</v>
      </c>
      <c r="AF5" s="510">
        <v>32</v>
      </c>
      <c r="AG5" s="510">
        <v>33</v>
      </c>
      <c r="AH5" s="510">
        <v>34</v>
      </c>
      <c r="AI5" s="510">
        <v>35</v>
      </c>
      <c r="AJ5" s="510">
        <v>36</v>
      </c>
      <c r="AK5" s="510">
        <v>37</v>
      </c>
      <c r="AL5" s="510">
        <v>38</v>
      </c>
      <c r="AM5" s="510">
        <v>39</v>
      </c>
      <c r="AN5" s="510">
        <v>40</v>
      </c>
      <c r="AO5" s="510">
        <v>41</v>
      </c>
      <c r="AP5" s="510">
        <v>42</v>
      </c>
      <c r="AQ5" s="510">
        <v>43</v>
      </c>
      <c r="AS5" s="278"/>
      <c r="AT5" s="278"/>
      <c r="AU5" s="278"/>
      <c r="AV5" s="278"/>
      <c r="AW5" s="278"/>
      <c r="AX5" s="278"/>
      <c r="AY5" s="278"/>
    </row>
    <row r="6" spans="1:51" ht="30" customHeight="1">
      <c r="A6" s="1005" t="s">
        <v>3507</v>
      </c>
      <c r="B6" s="1006"/>
      <c r="C6" s="1006"/>
      <c r="D6" s="1006"/>
      <c r="E6" s="1006"/>
      <c r="F6" s="1006"/>
      <c r="G6" s="1006"/>
      <c r="H6" s="1006"/>
      <c r="I6" s="1006"/>
      <c r="J6" s="1006"/>
      <c r="K6" s="1006"/>
      <c r="L6" s="1006"/>
      <c r="M6" s="1006"/>
      <c r="N6" s="1006"/>
      <c r="O6" s="1006"/>
      <c r="P6" s="1006"/>
      <c r="Q6" s="1006"/>
      <c r="R6" s="1006"/>
      <c r="S6" s="1006"/>
      <c r="T6" s="1006"/>
      <c r="U6" s="1006"/>
      <c r="V6" s="1006"/>
      <c r="W6" s="1006"/>
      <c r="X6" s="1006"/>
      <c r="Y6" s="1006"/>
      <c r="Z6" s="1006"/>
      <c r="AA6" s="1006"/>
      <c r="AB6" s="1006"/>
      <c r="AC6" s="1006"/>
      <c r="AD6" s="1006"/>
      <c r="AE6" s="1006"/>
      <c r="AF6" s="1006"/>
      <c r="AG6" s="1006"/>
      <c r="AH6" s="1006"/>
      <c r="AI6" s="1006"/>
      <c r="AJ6" s="1006"/>
      <c r="AK6" s="1006"/>
      <c r="AL6" s="1006"/>
      <c r="AM6" s="1006"/>
      <c r="AN6" s="1006"/>
      <c r="AO6" s="1006"/>
      <c r="AP6" s="1006"/>
      <c r="AQ6" s="1007"/>
      <c r="AS6" s="278"/>
      <c r="AT6" s="278"/>
      <c r="AU6" s="278"/>
      <c r="AV6" s="278"/>
      <c r="AW6" s="278"/>
      <c r="AX6" s="278"/>
      <c r="AY6" s="278"/>
    </row>
    <row r="7" spans="1:51" ht="33.75" customHeight="1">
      <c r="A7" s="897">
        <v>1</v>
      </c>
      <c r="B7" s="897">
        <v>805684</v>
      </c>
      <c r="C7" s="898" t="s">
        <v>24</v>
      </c>
      <c r="D7" s="899" t="s">
        <v>860</v>
      </c>
      <c r="E7" s="900">
        <v>4</v>
      </c>
      <c r="F7" s="901">
        <v>28000</v>
      </c>
      <c r="G7" s="509"/>
      <c r="H7" s="509"/>
      <c r="I7" s="18"/>
      <c r="J7" s="534"/>
      <c r="K7" s="274">
        <v>0</v>
      </c>
      <c r="L7" s="508"/>
      <c r="M7" s="509"/>
      <c r="N7" s="509"/>
      <c r="O7" s="509"/>
      <c r="P7" s="287"/>
      <c r="Q7" s="509"/>
      <c r="R7" s="508"/>
      <c r="S7" s="560"/>
      <c r="T7" s="560"/>
      <c r="U7" s="560"/>
      <c r="V7" s="579"/>
      <c r="W7" s="560"/>
      <c r="X7" s="613"/>
      <c r="Y7" s="560"/>
      <c r="Z7" s="560"/>
      <c r="AA7" s="560"/>
      <c r="AB7" s="579"/>
      <c r="AC7" s="560"/>
      <c r="AD7" s="560"/>
      <c r="AE7" s="560"/>
      <c r="AF7" s="560"/>
      <c r="AG7" s="902" t="s">
        <v>31</v>
      </c>
      <c r="AH7" s="579">
        <v>1</v>
      </c>
      <c r="AI7" s="559" t="s">
        <v>17</v>
      </c>
      <c r="AJ7" s="903">
        <v>59705</v>
      </c>
      <c r="AK7" s="560"/>
      <c r="AL7" s="560"/>
      <c r="AM7" s="560"/>
      <c r="AN7" s="579"/>
      <c r="AO7" s="560"/>
      <c r="AP7" s="560"/>
      <c r="AQ7" s="607"/>
      <c r="AS7" s="278"/>
      <c r="AT7" s="278"/>
      <c r="AU7" s="278"/>
      <c r="AV7" s="278"/>
      <c r="AW7" s="278"/>
      <c r="AX7" s="278"/>
      <c r="AY7" s="278"/>
    </row>
    <row r="8" spans="1:51" ht="33.75" customHeight="1">
      <c r="A8" s="897"/>
      <c r="B8" s="897"/>
      <c r="C8" s="898"/>
      <c r="D8" s="899"/>
      <c r="E8" s="900"/>
      <c r="F8" s="901"/>
      <c r="G8" s="509"/>
      <c r="H8" s="509"/>
      <c r="I8" s="18"/>
      <c r="J8" s="534"/>
      <c r="K8" s="274"/>
      <c r="L8" s="508"/>
      <c r="M8" s="509"/>
      <c r="N8" s="509"/>
      <c r="O8" s="509"/>
      <c r="P8" s="287"/>
      <c r="Q8" s="509"/>
      <c r="R8" s="508"/>
      <c r="S8" s="560"/>
      <c r="T8" s="560"/>
      <c r="U8" s="560"/>
      <c r="V8" s="579"/>
      <c r="W8" s="560"/>
      <c r="X8" s="613"/>
      <c r="Y8" s="560"/>
      <c r="Z8" s="560"/>
      <c r="AA8" s="560"/>
      <c r="AB8" s="579"/>
      <c r="AC8" s="560"/>
      <c r="AD8" s="560"/>
      <c r="AE8" s="560"/>
      <c r="AF8" s="560"/>
      <c r="AG8" s="902"/>
      <c r="AH8" s="579">
        <f>F7/E7*AH7</f>
        <v>7000</v>
      </c>
      <c r="AI8" s="580" t="s">
        <v>32</v>
      </c>
      <c r="AJ8" s="903"/>
      <c r="AK8" s="560"/>
      <c r="AL8" s="560"/>
      <c r="AM8" s="560"/>
      <c r="AN8" s="579"/>
      <c r="AO8" s="560"/>
      <c r="AP8" s="560"/>
      <c r="AQ8" s="607"/>
      <c r="AS8" s="278"/>
      <c r="AT8" s="278"/>
      <c r="AU8" s="278"/>
      <c r="AV8" s="278"/>
      <c r="AW8" s="278"/>
      <c r="AX8" s="278"/>
      <c r="AY8" s="278"/>
    </row>
    <row r="9" spans="1:51" ht="33.75" customHeight="1">
      <c r="A9" s="897">
        <v>2</v>
      </c>
      <c r="B9" s="897">
        <v>805684</v>
      </c>
      <c r="C9" s="898" t="s">
        <v>25</v>
      </c>
      <c r="D9" s="899" t="s">
        <v>860</v>
      </c>
      <c r="E9" s="900">
        <v>45.91</v>
      </c>
      <c r="F9" s="901">
        <v>423290</v>
      </c>
      <c r="G9" s="509"/>
      <c r="H9" s="509"/>
      <c r="I9" s="18"/>
      <c r="J9" s="534"/>
      <c r="K9" s="274">
        <v>0</v>
      </c>
      <c r="L9" s="508"/>
      <c r="M9" s="509"/>
      <c r="N9" s="509"/>
      <c r="O9" s="509"/>
      <c r="P9" s="287"/>
      <c r="Q9" s="274"/>
      <c r="R9" s="508"/>
      <c r="S9" s="12"/>
      <c r="T9" s="560"/>
      <c r="U9" s="560"/>
      <c r="V9" s="579"/>
      <c r="W9" s="560"/>
      <c r="X9" s="613"/>
      <c r="Y9" s="560"/>
      <c r="Z9" s="560"/>
      <c r="AA9" s="560"/>
      <c r="AB9" s="579"/>
      <c r="AC9" s="560"/>
      <c r="AD9" s="560"/>
      <c r="AE9" s="560"/>
      <c r="AF9" s="560"/>
      <c r="AG9" s="902" t="s">
        <v>31</v>
      </c>
      <c r="AH9" s="579">
        <v>1.5</v>
      </c>
      <c r="AI9" s="559" t="s">
        <v>17</v>
      </c>
      <c r="AJ9" s="903">
        <v>89560</v>
      </c>
      <c r="AK9" s="560"/>
      <c r="AL9" s="560"/>
      <c r="AM9" s="560"/>
      <c r="AN9" s="579"/>
      <c r="AO9" s="560"/>
      <c r="AP9" s="560"/>
      <c r="AQ9" s="607"/>
      <c r="AS9" s="278"/>
      <c r="AT9" s="278"/>
      <c r="AU9" s="278"/>
      <c r="AV9" s="278"/>
      <c r="AW9" s="278"/>
      <c r="AX9" s="278"/>
      <c r="AY9" s="278"/>
    </row>
    <row r="10" spans="1:51" ht="33.75" customHeight="1">
      <c r="A10" s="897"/>
      <c r="B10" s="897"/>
      <c r="C10" s="898"/>
      <c r="D10" s="899"/>
      <c r="E10" s="900"/>
      <c r="F10" s="901"/>
      <c r="G10" s="509"/>
      <c r="H10" s="509"/>
      <c r="I10" s="18"/>
      <c r="J10" s="534"/>
      <c r="K10" s="274"/>
      <c r="L10" s="508"/>
      <c r="M10" s="509"/>
      <c r="N10" s="509"/>
      <c r="O10" s="509"/>
      <c r="P10" s="287"/>
      <c r="Q10" s="274"/>
      <c r="R10" s="508"/>
      <c r="S10" s="12"/>
      <c r="T10" s="560"/>
      <c r="U10" s="560"/>
      <c r="V10" s="579"/>
      <c r="W10" s="560"/>
      <c r="X10" s="613"/>
      <c r="Y10" s="560"/>
      <c r="Z10" s="560"/>
      <c r="AA10" s="560"/>
      <c r="AB10" s="579"/>
      <c r="AC10" s="560"/>
      <c r="AD10" s="560"/>
      <c r="AE10" s="560"/>
      <c r="AF10" s="560"/>
      <c r="AG10" s="902"/>
      <c r="AH10" s="579">
        <f>F9/E9*AH9</f>
        <v>13829.993465475933</v>
      </c>
      <c r="AI10" s="580" t="s">
        <v>32</v>
      </c>
      <c r="AJ10" s="903"/>
      <c r="AK10" s="560"/>
      <c r="AL10" s="560"/>
      <c r="AM10" s="560"/>
      <c r="AN10" s="579"/>
      <c r="AO10" s="560"/>
      <c r="AP10" s="560"/>
      <c r="AQ10" s="607"/>
      <c r="AS10" s="278"/>
      <c r="AT10" s="278"/>
      <c r="AU10" s="278"/>
      <c r="AV10" s="278"/>
      <c r="AW10" s="278"/>
      <c r="AX10" s="278"/>
      <c r="AY10" s="278"/>
    </row>
    <row r="11" spans="1:51">
      <c r="A11" s="870">
        <v>3</v>
      </c>
      <c r="B11" s="870" t="s">
        <v>26</v>
      </c>
      <c r="C11" s="898" t="s">
        <v>27</v>
      </c>
      <c r="D11" s="899" t="s">
        <v>861</v>
      </c>
      <c r="E11" s="900">
        <v>46.84</v>
      </c>
      <c r="F11" s="901">
        <v>360653</v>
      </c>
      <c r="G11" s="509"/>
      <c r="H11" s="509"/>
      <c r="I11" s="18"/>
      <c r="J11" s="534"/>
      <c r="K11" s="274"/>
      <c r="L11" s="508"/>
      <c r="M11" s="955" t="s">
        <v>41</v>
      </c>
      <c r="N11" s="907" t="s">
        <v>28</v>
      </c>
      <c r="O11" s="955" t="s">
        <v>114</v>
      </c>
      <c r="P11" s="287">
        <v>17</v>
      </c>
      <c r="Q11" s="514" t="s">
        <v>17</v>
      </c>
      <c r="R11" s="956">
        <v>369780</v>
      </c>
      <c r="S11" s="907"/>
      <c r="T11" s="907"/>
      <c r="U11" s="907"/>
      <c r="V11" s="287"/>
      <c r="W11" s="514"/>
      <c r="X11" s="956"/>
      <c r="Y11" s="902" t="s">
        <v>29</v>
      </c>
      <c r="Z11" s="902" t="s">
        <v>30</v>
      </c>
      <c r="AA11" s="902" t="s">
        <v>31</v>
      </c>
      <c r="AB11" s="579">
        <v>2.1</v>
      </c>
      <c r="AC11" s="559" t="s">
        <v>17</v>
      </c>
      <c r="AD11" s="902">
        <f>AB11*24000</f>
        <v>50400</v>
      </c>
      <c r="AE11" s="581"/>
      <c r="AF11" s="581"/>
      <c r="AG11" s="319"/>
      <c r="AH11" s="582"/>
      <c r="AI11" s="581"/>
      <c r="AJ11" s="581"/>
      <c r="AK11" s="560"/>
      <c r="AL11" s="560"/>
      <c r="AM11" s="560"/>
      <c r="AN11" s="579"/>
      <c r="AO11" s="560"/>
      <c r="AP11" s="560"/>
      <c r="AQ11" s="607"/>
      <c r="AS11" s="278"/>
      <c r="AT11" s="278"/>
      <c r="AU11" s="278"/>
      <c r="AV11" s="278"/>
      <c r="AW11" s="278"/>
      <c r="AX11" s="278"/>
      <c r="AY11" s="278"/>
    </row>
    <row r="12" spans="1:51">
      <c r="A12" s="870"/>
      <c r="B12" s="870"/>
      <c r="C12" s="898"/>
      <c r="D12" s="899"/>
      <c r="E12" s="900"/>
      <c r="F12" s="901"/>
      <c r="G12" s="509"/>
      <c r="H12" s="509"/>
      <c r="I12" s="18"/>
      <c r="J12" s="534"/>
      <c r="K12" s="274"/>
      <c r="L12" s="508"/>
      <c r="M12" s="907"/>
      <c r="N12" s="907"/>
      <c r="O12" s="955"/>
      <c r="P12" s="287">
        <f>F11/E11*P11</f>
        <v>130894.55593509819</v>
      </c>
      <c r="Q12" s="583" t="s">
        <v>32</v>
      </c>
      <c r="R12" s="956"/>
      <c r="S12" s="907"/>
      <c r="T12" s="907"/>
      <c r="U12" s="907"/>
      <c r="V12" s="287"/>
      <c r="W12" s="583"/>
      <c r="X12" s="956"/>
      <c r="Y12" s="902"/>
      <c r="Z12" s="902"/>
      <c r="AA12" s="902"/>
      <c r="AB12" s="579">
        <f>F11/E11*AB11</f>
        <v>16169.327497865072</v>
      </c>
      <c r="AC12" s="580" t="s">
        <v>32</v>
      </c>
      <c r="AD12" s="902"/>
      <c r="AE12" s="581"/>
      <c r="AF12" s="581"/>
      <c r="AG12" s="319"/>
      <c r="AH12" s="582"/>
      <c r="AI12" s="581"/>
      <c r="AJ12" s="581"/>
      <c r="AK12" s="560"/>
      <c r="AL12" s="560"/>
      <c r="AM12" s="560"/>
      <c r="AN12" s="579"/>
      <c r="AO12" s="560"/>
      <c r="AP12" s="560"/>
      <c r="AQ12" s="607"/>
      <c r="AS12" s="278"/>
      <c r="AT12" s="278"/>
      <c r="AU12" s="278"/>
      <c r="AV12" s="278"/>
      <c r="AW12" s="278"/>
      <c r="AX12" s="278"/>
      <c r="AY12" s="278"/>
    </row>
    <row r="13" spans="1:51">
      <c r="A13" s="870"/>
      <c r="B13" s="870"/>
      <c r="C13" s="898"/>
      <c r="D13" s="899"/>
      <c r="E13" s="900"/>
      <c r="F13" s="901"/>
      <c r="G13" s="509"/>
      <c r="H13" s="509"/>
      <c r="I13" s="18"/>
      <c r="J13" s="534"/>
      <c r="K13" s="274"/>
      <c r="L13" s="508"/>
      <c r="M13" s="509"/>
      <c r="N13" s="509"/>
      <c r="O13" s="509"/>
      <c r="P13" s="287"/>
      <c r="Q13" s="583"/>
      <c r="R13" s="613"/>
      <c r="S13" s="902" t="s">
        <v>28</v>
      </c>
      <c r="T13" s="902" t="s">
        <v>33</v>
      </c>
      <c r="U13" s="902" t="s">
        <v>31</v>
      </c>
      <c r="V13" s="579">
        <v>15</v>
      </c>
      <c r="W13" s="559" t="s">
        <v>17</v>
      </c>
      <c r="X13" s="956">
        <v>360000</v>
      </c>
      <c r="Y13" s="560"/>
      <c r="Z13" s="560"/>
      <c r="AA13" s="560"/>
      <c r="AB13" s="579"/>
      <c r="AC13" s="580"/>
      <c r="AD13" s="560"/>
      <c r="AE13" s="581"/>
      <c r="AF13" s="581"/>
      <c r="AG13" s="319"/>
      <c r="AH13" s="582"/>
      <c r="AI13" s="581"/>
      <c r="AJ13" s="581"/>
      <c r="AK13" s="560"/>
      <c r="AL13" s="560"/>
      <c r="AM13" s="560"/>
      <c r="AN13" s="579"/>
      <c r="AO13" s="560"/>
      <c r="AP13" s="560"/>
      <c r="AQ13" s="607"/>
      <c r="AS13" s="278"/>
      <c r="AT13" s="278"/>
      <c r="AU13" s="278"/>
      <c r="AV13" s="278"/>
      <c r="AW13" s="278"/>
      <c r="AX13" s="278"/>
      <c r="AY13" s="278"/>
    </row>
    <row r="14" spans="1:51">
      <c r="A14" s="870"/>
      <c r="B14" s="870"/>
      <c r="C14" s="898"/>
      <c r="D14" s="899"/>
      <c r="E14" s="900"/>
      <c r="F14" s="901"/>
      <c r="G14" s="509"/>
      <c r="H14" s="509"/>
      <c r="I14" s="18"/>
      <c r="J14" s="534"/>
      <c r="K14" s="274"/>
      <c r="L14" s="508"/>
      <c r="M14" s="509"/>
      <c r="N14" s="509"/>
      <c r="O14" s="509"/>
      <c r="P14" s="287"/>
      <c r="Q14" s="583"/>
      <c r="R14" s="613"/>
      <c r="S14" s="902"/>
      <c r="T14" s="902"/>
      <c r="U14" s="902"/>
      <c r="V14" s="579">
        <f>F11/E11*V13</f>
        <v>115495.19641332193</v>
      </c>
      <c r="W14" s="580" t="s">
        <v>32</v>
      </c>
      <c r="X14" s="956"/>
      <c r="Y14" s="560"/>
      <c r="Z14" s="560"/>
      <c r="AA14" s="560"/>
      <c r="AB14" s="579"/>
      <c r="AC14" s="580"/>
      <c r="AD14" s="560"/>
      <c r="AE14" s="581"/>
      <c r="AF14" s="581"/>
      <c r="AG14" s="319"/>
      <c r="AH14" s="582"/>
      <c r="AI14" s="581"/>
      <c r="AJ14" s="581"/>
      <c r="AK14" s="560"/>
      <c r="AL14" s="560"/>
      <c r="AM14" s="560"/>
      <c r="AN14" s="579"/>
      <c r="AO14" s="560"/>
      <c r="AP14" s="560"/>
      <c r="AQ14" s="607"/>
      <c r="AS14" s="278"/>
      <c r="AT14" s="278"/>
      <c r="AU14" s="278"/>
      <c r="AV14" s="278"/>
      <c r="AW14" s="278"/>
      <c r="AX14" s="278"/>
      <c r="AY14" s="278"/>
    </row>
    <row r="15" spans="1:51" ht="37.5" customHeight="1">
      <c r="A15" s="970">
        <v>4</v>
      </c>
      <c r="B15" s="870" t="s">
        <v>26</v>
      </c>
      <c r="C15" s="898" t="s">
        <v>34</v>
      </c>
      <c r="D15" s="899" t="s">
        <v>861</v>
      </c>
      <c r="E15" s="900">
        <v>12.93</v>
      </c>
      <c r="F15" s="901">
        <v>93096</v>
      </c>
      <c r="G15" s="509"/>
      <c r="H15" s="509"/>
      <c r="I15" s="18"/>
      <c r="J15" s="534"/>
      <c r="K15" s="274"/>
      <c r="L15" s="508"/>
      <c r="M15" s="907"/>
      <c r="N15" s="907"/>
      <c r="O15" s="907"/>
      <c r="P15" s="287"/>
      <c r="Q15" s="514"/>
      <c r="R15" s="956"/>
      <c r="S15" s="957"/>
      <c r="T15" s="902"/>
      <c r="U15" s="902"/>
      <c r="V15" s="579"/>
      <c r="W15" s="559"/>
      <c r="X15" s="956"/>
      <c r="Y15" s="902" t="s">
        <v>35</v>
      </c>
      <c r="Z15" s="902" t="s">
        <v>36</v>
      </c>
      <c r="AA15" s="902" t="s">
        <v>31</v>
      </c>
      <c r="AB15" s="579">
        <v>5.4</v>
      </c>
      <c r="AC15" s="559" t="s">
        <v>17</v>
      </c>
      <c r="AD15" s="902">
        <f>AB15*24000</f>
        <v>129600.00000000001</v>
      </c>
      <c r="AE15" s="560"/>
      <c r="AF15" s="560"/>
      <c r="AG15" s="560"/>
      <c r="AH15" s="579"/>
      <c r="AI15" s="560"/>
      <c r="AJ15" s="560"/>
      <c r="AK15" s="560"/>
      <c r="AL15" s="560"/>
      <c r="AM15" s="560"/>
      <c r="AN15" s="579"/>
      <c r="AO15" s="560"/>
      <c r="AP15" s="560"/>
      <c r="AQ15" s="631"/>
      <c r="AS15" s="278"/>
      <c r="AT15" s="278"/>
      <c r="AU15" s="278"/>
      <c r="AV15" s="278"/>
      <c r="AW15" s="278"/>
      <c r="AX15" s="278"/>
      <c r="AY15" s="278"/>
    </row>
    <row r="16" spans="1:51" ht="37.5" customHeight="1">
      <c r="A16" s="970"/>
      <c r="B16" s="870"/>
      <c r="C16" s="898"/>
      <c r="D16" s="899"/>
      <c r="E16" s="900"/>
      <c r="F16" s="901"/>
      <c r="G16" s="509"/>
      <c r="H16" s="509"/>
      <c r="I16" s="18"/>
      <c r="J16" s="534"/>
      <c r="K16" s="274"/>
      <c r="L16" s="508"/>
      <c r="M16" s="907"/>
      <c r="N16" s="907"/>
      <c r="O16" s="907"/>
      <c r="P16" s="287"/>
      <c r="Q16" s="583"/>
      <c r="R16" s="956"/>
      <c r="S16" s="957"/>
      <c r="T16" s="902"/>
      <c r="U16" s="902"/>
      <c r="V16" s="579"/>
      <c r="W16" s="580"/>
      <c r="X16" s="956"/>
      <c r="Y16" s="902"/>
      <c r="Z16" s="902"/>
      <c r="AA16" s="902"/>
      <c r="AB16" s="579">
        <f>F15/E15*AB15</f>
        <v>38880</v>
      </c>
      <c r="AC16" s="580" t="s">
        <v>32</v>
      </c>
      <c r="AD16" s="902"/>
      <c r="AE16" s="560"/>
      <c r="AF16" s="560"/>
      <c r="AG16" s="560"/>
      <c r="AH16" s="579"/>
      <c r="AI16" s="560"/>
      <c r="AJ16" s="560"/>
      <c r="AK16" s="560"/>
      <c r="AL16" s="560"/>
      <c r="AM16" s="560"/>
      <c r="AN16" s="579"/>
      <c r="AO16" s="560"/>
      <c r="AP16" s="560"/>
      <c r="AQ16" s="631"/>
      <c r="AS16" s="278"/>
      <c r="AT16" s="278"/>
      <c r="AU16" s="278"/>
      <c r="AV16" s="278"/>
      <c r="AW16" s="278"/>
      <c r="AX16" s="278"/>
      <c r="AY16" s="278"/>
    </row>
    <row r="17" spans="1:51" ht="37.5" customHeight="1">
      <c r="A17" s="970">
        <v>5</v>
      </c>
      <c r="B17" s="870" t="s">
        <v>26</v>
      </c>
      <c r="C17" s="898" t="s">
        <v>37</v>
      </c>
      <c r="D17" s="899" t="s">
        <v>861</v>
      </c>
      <c r="E17" s="900">
        <v>36.07</v>
      </c>
      <c r="F17" s="901">
        <v>252469</v>
      </c>
      <c r="G17" s="907" t="s">
        <v>38</v>
      </c>
      <c r="H17" s="907" t="s">
        <v>39</v>
      </c>
      <c r="I17" s="955" t="s">
        <v>114</v>
      </c>
      <c r="J17" s="274">
        <v>24.95</v>
      </c>
      <c r="K17" s="11" t="s">
        <v>17</v>
      </c>
      <c r="L17" s="866">
        <v>329607.60337999999</v>
      </c>
      <c r="M17" s="907" t="s">
        <v>40</v>
      </c>
      <c r="N17" s="907" t="s">
        <v>41</v>
      </c>
      <c r="O17" s="955" t="s">
        <v>114</v>
      </c>
      <c r="P17" s="287">
        <v>8.5549999999999997</v>
      </c>
      <c r="Q17" s="514" t="s">
        <v>17</v>
      </c>
      <c r="R17" s="956">
        <v>150830</v>
      </c>
      <c r="S17" s="957"/>
      <c r="T17" s="902"/>
      <c r="U17" s="902"/>
      <c r="V17" s="579"/>
      <c r="W17" s="559"/>
      <c r="X17" s="956"/>
      <c r="Y17" s="560"/>
      <c r="Z17" s="12"/>
      <c r="AA17" s="560"/>
      <c r="AB17" s="579"/>
      <c r="AC17" s="560"/>
      <c r="AD17" s="560"/>
      <c r="AE17" s="581"/>
      <c r="AF17" s="581"/>
      <c r="AG17" s="319"/>
      <c r="AH17" s="582"/>
      <c r="AI17" s="581"/>
      <c r="AJ17" s="581"/>
      <c r="AK17" s="319"/>
      <c r="AL17" s="319"/>
      <c r="AM17" s="581"/>
      <c r="AN17" s="582"/>
      <c r="AO17" s="581"/>
      <c r="AP17" s="581"/>
      <c r="AQ17" s="631"/>
      <c r="AS17" s="278"/>
      <c r="AT17" s="278"/>
      <c r="AU17" s="278"/>
      <c r="AV17" s="278"/>
      <c r="AW17" s="278"/>
      <c r="AX17" s="278"/>
      <c r="AY17" s="278"/>
    </row>
    <row r="18" spans="1:51" ht="37.5" customHeight="1">
      <c r="A18" s="970"/>
      <c r="B18" s="870"/>
      <c r="C18" s="898"/>
      <c r="D18" s="899"/>
      <c r="E18" s="900"/>
      <c r="F18" s="901"/>
      <c r="G18" s="907"/>
      <c r="H18" s="907"/>
      <c r="I18" s="955"/>
      <c r="J18" s="534">
        <v>179293</v>
      </c>
      <c r="K18" s="13" t="s">
        <v>32</v>
      </c>
      <c r="L18" s="866"/>
      <c r="M18" s="907"/>
      <c r="N18" s="907"/>
      <c r="O18" s="955"/>
      <c r="P18" s="287">
        <f>F17/E17*P17</f>
        <v>59880.019268089825</v>
      </c>
      <c r="Q18" s="583" t="s">
        <v>32</v>
      </c>
      <c r="R18" s="956"/>
      <c r="S18" s="957"/>
      <c r="T18" s="902"/>
      <c r="U18" s="902"/>
      <c r="V18" s="579"/>
      <c r="W18" s="580"/>
      <c r="X18" s="956"/>
      <c r="Y18" s="560"/>
      <c r="Z18" s="12"/>
      <c r="AA18" s="560"/>
      <c r="AB18" s="579"/>
      <c r="AC18" s="560"/>
      <c r="AD18" s="560"/>
      <c r="AE18" s="581"/>
      <c r="AF18" s="581"/>
      <c r="AG18" s="319"/>
      <c r="AH18" s="582"/>
      <c r="AI18" s="581"/>
      <c r="AJ18" s="581"/>
      <c r="AK18" s="319"/>
      <c r="AL18" s="319"/>
      <c r="AM18" s="581"/>
      <c r="AN18" s="582"/>
      <c r="AO18" s="581"/>
      <c r="AP18" s="581"/>
      <c r="AQ18" s="631"/>
      <c r="AS18" s="278"/>
      <c r="AT18" s="278"/>
      <c r="AU18" s="278"/>
      <c r="AV18" s="278"/>
      <c r="AW18" s="278"/>
      <c r="AX18" s="278"/>
      <c r="AY18" s="278"/>
    </row>
    <row r="19" spans="1:51" ht="37.5" customHeight="1">
      <c r="A19" s="970">
        <v>6</v>
      </c>
      <c r="B19" s="870" t="s">
        <v>26</v>
      </c>
      <c r="C19" s="898" t="s">
        <v>42</v>
      </c>
      <c r="D19" s="899" t="s">
        <v>861</v>
      </c>
      <c r="E19" s="900">
        <v>7.1130000000000004</v>
      </c>
      <c r="F19" s="901">
        <v>46946</v>
      </c>
      <c r="G19" s="509"/>
      <c r="H19" s="509"/>
      <c r="I19" s="18"/>
      <c r="J19" s="534"/>
      <c r="K19" s="274"/>
      <c r="L19" s="508"/>
      <c r="M19" s="907"/>
      <c r="N19" s="907"/>
      <c r="O19" s="14"/>
      <c r="P19" s="289"/>
      <c r="Q19" s="14"/>
      <c r="R19" s="614"/>
      <c r="S19" s="957"/>
      <c r="T19" s="902"/>
      <c r="U19" s="12"/>
      <c r="V19" s="584"/>
      <c r="W19" s="12"/>
      <c r="X19" s="615"/>
      <c r="Y19" s="560"/>
      <c r="Z19" s="12"/>
      <c r="AA19" s="560"/>
      <c r="AB19" s="579"/>
      <c r="AC19" s="560"/>
      <c r="AD19" s="560"/>
      <c r="AE19" s="560"/>
      <c r="AF19" s="560"/>
      <c r="AG19" s="902" t="s">
        <v>31</v>
      </c>
      <c r="AH19" s="579">
        <v>2.4</v>
      </c>
      <c r="AI19" s="559" t="s">
        <v>17</v>
      </c>
      <c r="AJ19" s="903">
        <v>144000</v>
      </c>
      <c r="AK19" s="560"/>
      <c r="AL19" s="560"/>
      <c r="AM19" s="560"/>
      <c r="AN19" s="579"/>
      <c r="AO19" s="560"/>
      <c r="AP19" s="560"/>
      <c r="AQ19" s="631"/>
      <c r="AS19" s="278"/>
      <c r="AT19" s="278"/>
      <c r="AU19" s="278"/>
      <c r="AV19" s="278"/>
      <c r="AW19" s="278"/>
      <c r="AX19" s="278"/>
      <c r="AY19" s="278"/>
    </row>
    <row r="20" spans="1:51" ht="37.5" customHeight="1">
      <c r="A20" s="970"/>
      <c r="B20" s="870"/>
      <c r="C20" s="898"/>
      <c r="D20" s="899"/>
      <c r="E20" s="900"/>
      <c r="F20" s="901"/>
      <c r="G20" s="509"/>
      <c r="H20" s="509"/>
      <c r="I20" s="18"/>
      <c r="J20" s="534"/>
      <c r="K20" s="274"/>
      <c r="L20" s="508"/>
      <c r="M20" s="907"/>
      <c r="N20" s="907"/>
      <c r="O20" s="14"/>
      <c r="P20" s="289"/>
      <c r="Q20" s="14"/>
      <c r="R20" s="614"/>
      <c r="S20" s="957"/>
      <c r="T20" s="902"/>
      <c r="U20" s="12"/>
      <c r="V20" s="584"/>
      <c r="W20" s="12"/>
      <c r="X20" s="615"/>
      <c r="Y20" s="560"/>
      <c r="Z20" s="12"/>
      <c r="AA20" s="560"/>
      <c r="AB20" s="579"/>
      <c r="AC20" s="560"/>
      <c r="AD20" s="560"/>
      <c r="AE20" s="560"/>
      <c r="AF20" s="560"/>
      <c r="AG20" s="902"/>
      <c r="AH20" s="579">
        <f>F19/E19*AH19</f>
        <v>15840.067482075072</v>
      </c>
      <c r="AI20" s="580" t="s">
        <v>32</v>
      </c>
      <c r="AJ20" s="903"/>
      <c r="AK20" s="560"/>
      <c r="AL20" s="560"/>
      <c r="AM20" s="560"/>
      <c r="AN20" s="579"/>
      <c r="AO20" s="560"/>
      <c r="AP20" s="560"/>
      <c r="AQ20" s="631"/>
      <c r="AS20" s="278"/>
      <c r="AT20" s="278"/>
      <c r="AU20" s="278"/>
      <c r="AV20" s="278"/>
      <c r="AW20" s="278"/>
      <c r="AX20" s="278"/>
      <c r="AY20" s="278"/>
    </row>
    <row r="21" spans="1:51" ht="37.5" customHeight="1">
      <c r="A21" s="968">
        <v>7</v>
      </c>
      <c r="B21" s="897">
        <v>805616</v>
      </c>
      <c r="C21" s="898" t="s">
        <v>43</v>
      </c>
      <c r="D21" s="899" t="s">
        <v>862</v>
      </c>
      <c r="E21" s="900">
        <v>7.11</v>
      </c>
      <c r="F21" s="901">
        <v>42630</v>
      </c>
      <c r="G21" s="907" t="s">
        <v>44</v>
      </c>
      <c r="H21" s="907" t="s">
        <v>45</v>
      </c>
      <c r="I21" s="955" t="s">
        <v>114</v>
      </c>
      <c r="J21" s="274">
        <v>2.4329999999999998</v>
      </c>
      <c r="K21" s="11" t="s">
        <v>17</v>
      </c>
      <c r="L21" s="866">
        <v>23820.969120000002</v>
      </c>
      <c r="M21" s="509"/>
      <c r="N21" s="509"/>
      <c r="O21" s="509"/>
      <c r="P21" s="287"/>
      <c r="Q21" s="274"/>
      <c r="R21" s="508"/>
      <c r="S21" s="12"/>
      <c r="T21" s="560"/>
      <c r="U21" s="560"/>
      <c r="V21" s="579"/>
      <c r="W21" s="560"/>
      <c r="X21" s="613"/>
      <c r="Y21" s="560"/>
      <c r="Z21" s="12"/>
      <c r="AA21" s="560"/>
      <c r="AB21" s="579"/>
      <c r="AC21" s="560"/>
      <c r="AD21" s="560"/>
      <c r="AE21" s="560"/>
      <c r="AF21" s="560"/>
      <c r="AG21" s="560"/>
      <c r="AH21" s="579"/>
      <c r="AI21" s="560"/>
      <c r="AJ21" s="560"/>
      <c r="AK21" s="12"/>
      <c r="AL21" s="560"/>
      <c r="AM21" s="560"/>
      <c r="AN21" s="579"/>
      <c r="AO21" s="560"/>
      <c r="AP21" s="560"/>
      <c r="AQ21" s="631"/>
      <c r="AS21" s="278"/>
      <c r="AT21" s="278"/>
      <c r="AU21" s="278"/>
      <c r="AV21" s="278"/>
      <c r="AW21" s="278"/>
      <c r="AX21" s="278"/>
      <c r="AY21" s="278"/>
    </row>
    <row r="22" spans="1:51" ht="37.5" customHeight="1">
      <c r="A22" s="968"/>
      <c r="B22" s="897"/>
      <c r="C22" s="898"/>
      <c r="D22" s="899"/>
      <c r="E22" s="900"/>
      <c r="F22" s="901"/>
      <c r="G22" s="907"/>
      <c r="H22" s="907"/>
      <c r="I22" s="955"/>
      <c r="J22" s="534">
        <v>19282.900000000001</v>
      </c>
      <c r="K22" s="13" t="s">
        <v>32</v>
      </c>
      <c r="L22" s="866"/>
      <c r="M22" s="509"/>
      <c r="N22" s="509"/>
      <c r="O22" s="509"/>
      <c r="P22" s="287"/>
      <c r="Q22" s="274"/>
      <c r="R22" s="508"/>
      <c r="S22" s="12"/>
      <c r="T22" s="560"/>
      <c r="U22" s="560"/>
      <c r="V22" s="579"/>
      <c r="W22" s="560"/>
      <c r="X22" s="613"/>
      <c r="Y22" s="560"/>
      <c r="Z22" s="12"/>
      <c r="AA22" s="560"/>
      <c r="AB22" s="579"/>
      <c r="AC22" s="560"/>
      <c r="AD22" s="560"/>
      <c r="AE22" s="560"/>
      <c r="AF22" s="560"/>
      <c r="AG22" s="560"/>
      <c r="AH22" s="579"/>
      <c r="AI22" s="560"/>
      <c r="AJ22" s="560"/>
      <c r="AK22" s="12"/>
      <c r="AL22" s="560"/>
      <c r="AM22" s="560"/>
      <c r="AN22" s="579"/>
      <c r="AO22" s="560"/>
      <c r="AP22" s="560"/>
      <c r="AQ22" s="631"/>
      <c r="AS22" s="278"/>
      <c r="AT22" s="278"/>
      <c r="AU22" s="278"/>
      <c r="AV22" s="278"/>
      <c r="AW22" s="278"/>
      <c r="AX22" s="278"/>
      <c r="AY22" s="278"/>
    </row>
    <row r="23" spans="1:51" ht="58.5">
      <c r="A23" s="632">
        <v>8</v>
      </c>
      <c r="B23" s="585">
        <v>805453</v>
      </c>
      <c r="C23" s="586" t="s">
        <v>46</v>
      </c>
      <c r="D23" s="587" t="s">
        <v>863</v>
      </c>
      <c r="E23" s="9">
        <v>6.33</v>
      </c>
      <c r="F23" s="274">
        <v>120270</v>
      </c>
      <c r="G23" s="509" t="s">
        <v>47</v>
      </c>
      <c r="H23" s="509" t="s">
        <v>48</v>
      </c>
      <c r="I23" s="18" t="s">
        <v>49</v>
      </c>
      <c r="J23" s="534">
        <v>2123</v>
      </c>
      <c r="K23" s="274" t="s">
        <v>2681</v>
      </c>
      <c r="L23" s="508">
        <v>7125</v>
      </c>
      <c r="M23" s="509"/>
      <c r="N23" s="509"/>
      <c r="O23" s="509"/>
      <c r="P23" s="287"/>
      <c r="Q23" s="274"/>
      <c r="R23" s="508"/>
      <c r="S23" s="12"/>
      <c r="T23" s="560"/>
      <c r="U23" s="560"/>
      <c r="V23" s="579"/>
      <c r="W23" s="560"/>
      <c r="X23" s="613"/>
      <c r="Y23" s="560"/>
      <c r="Z23" s="12"/>
      <c r="AA23" s="560"/>
      <c r="AB23" s="579"/>
      <c r="AC23" s="560"/>
      <c r="AD23" s="560"/>
      <c r="AE23" s="560"/>
      <c r="AF23" s="560"/>
      <c r="AG23" s="560"/>
      <c r="AH23" s="579"/>
      <c r="AI23" s="560"/>
      <c r="AJ23" s="560"/>
      <c r="AK23" s="12"/>
      <c r="AL23" s="560"/>
      <c r="AM23" s="560"/>
      <c r="AN23" s="579"/>
      <c r="AO23" s="560"/>
      <c r="AP23" s="560"/>
      <c r="AQ23" s="631"/>
      <c r="AS23" s="278"/>
      <c r="AT23" s="278"/>
      <c r="AU23" s="278"/>
      <c r="AV23" s="278"/>
      <c r="AW23" s="278"/>
      <c r="AX23" s="278"/>
      <c r="AY23" s="278"/>
    </row>
    <row r="24" spans="1:51" ht="39" customHeight="1">
      <c r="A24" s="968">
        <v>9</v>
      </c>
      <c r="B24" s="897">
        <v>805454</v>
      </c>
      <c r="C24" s="898" t="s">
        <v>50</v>
      </c>
      <c r="D24" s="899" t="s">
        <v>864</v>
      </c>
      <c r="E24" s="900">
        <v>1.23</v>
      </c>
      <c r="F24" s="901">
        <v>9041</v>
      </c>
      <c r="G24" s="509"/>
      <c r="H24" s="509"/>
      <c r="I24" s="18"/>
      <c r="J24" s="534"/>
      <c r="K24" s="274"/>
      <c r="L24" s="508"/>
      <c r="M24" s="509"/>
      <c r="N24" s="509"/>
      <c r="O24" s="509"/>
      <c r="P24" s="287"/>
      <c r="Q24" s="274"/>
      <c r="R24" s="508"/>
      <c r="S24" s="12"/>
      <c r="T24" s="560"/>
      <c r="U24" s="560"/>
      <c r="V24" s="579"/>
      <c r="W24" s="560"/>
      <c r="X24" s="613"/>
      <c r="Y24" s="560"/>
      <c r="Z24" s="12"/>
      <c r="AA24" s="560"/>
      <c r="AB24" s="579"/>
      <c r="AC24" s="560"/>
      <c r="AD24" s="560"/>
      <c r="AE24" s="560"/>
      <c r="AF24" s="560"/>
      <c r="AG24" s="902" t="s">
        <v>31</v>
      </c>
      <c r="AH24" s="579">
        <v>1.23</v>
      </c>
      <c r="AI24" s="559" t="s">
        <v>17</v>
      </c>
      <c r="AJ24" s="903">
        <v>73800</v>
      </c>
      <c r="AK24" s="12"/>
      <c r="AL24" s="560"/>
      <c r="AM24" s="560"/>
      <c r="AN24" s="579"/>
      <c r="AO24" s="560"/>
      <c r="AP24" s="560"/>
      <c r="AQ24" s="631"/>
      <c r="AS24" s="278"/>
      <c r="AT24" s="278"/>
      <c r="AU24" s="278"/>
      <c r="AV24" s="278"/>
      <c r="AW24" s="278"/>
      <c r="AX24" s="278"/>
      <c r="AY24" s="278"/>
    </row>
    <row r="25" spans="1:51" ht="39" customHeight="1">
      <c r="A25" s="968"/>
      <c r="B25" s="897"/>
      <c r="C25" s="898"/>
      <c r="D25" s="899"/>
      <c r="E25" s="900"/>
      <c r="F25" s="901"/>
      <c r="G25" s="509"/>
      <c r="H25" s="509"/>
      <c r="I25" s="18"/>
      <c r="J25" s="534"/>
      <c r="K25" s="274"/>
      <c r="L25" s="508"/>
      <c r="M25" s="509"/>
      <c r="N25" s="509"/>
      <c r="O25" s="509"/>
      <c r="P25" s="287"/>
      <c r="Q25" s="274"/>
      <c r="R25" s="508"/>
      <c r="S25" s="12"/>
      <c r="T25" s="560"/>
      <c r="U25" s="560"/>
      <c r="V25" s="579"/>
      <c r="W25" s="560"/>
      <c r="X25" s="613"/>
      <c r="Y25" s="560"/>
      <c r="Z25" s="12"/>
      <c r="AA25" s="560"/>
      <c r="AB25" s="579"/>
      <c r="AC25" s="560"/>
      <c r="AD25" s="560"/>
      <c r="AE25" s="560"/>
      <c r="AF25" s="560"/>
      <c r="AG25" s="902"/>
      <c r="AH25" s="579">
        <f>F24/E24*AH24</f>
        <v>9041</v>
      </c>
      <c r="AI25" s="580" t="s">
        <v>32</v>
      </c>
      <c r="AJ25" s="903"/>
      <c r="AK25" s="12"/>
      <c r="AL25" s="560"/>
      <c r="AM25" s="560"/>
      <c r="AN25" s="579"/>
      <c r="AO25" s="560"/>
      <c r="AP25" s="560"/>
      <c r="AQ25" s="631"/>
      <c r="AS25" s="278"/>
      <c r="AT25" s="278"/>
      <c r="AU25" s="278"/>
      <c r="AV25" s="278"/>
      <c r="AW25" s="278"/>
      <c r="AX25" s="278"/>
      <c r="AY25" s="278"/>
    </row>
    <row r="26" spans="1:51" ht="39" customHeight="1">
      <c r="A26" s="968">
        <v>10</v>
      </c>
      <c r="B26" s="897">
        <v>805565</v>
      </c>
      <c r="C26" s="898" t="s">
        <v>51</v>
      </c>
      <c r="D26" s="899" t="s">
        <v>865</v>
      </c>
      <c r="E26" s="900">
        <v>1.87</v>
      </c>
      <c r="F26" s="901">
        <v>11220</v>
      </c>
      <c r="G26" s="509"/>
      <c r="H26" s="509"/>
      <c r="I26" s="18"/>
      <c r="J26" s="534"/>
      <c r="K26" s="274"/>
      <c r="L26" s="508"/>
      <c r="M26" s="509"/>
      <c r="N26" s="509"/>
      <c r="O26" s="509"/>
      <c r="P26" s="287"/>
      <c r="Q26" s="274"/>
      <c r="R26" s="508"/>
      <c r="S26" s="12"/>
      <c r="T26" s="560"/>
      <c r="U26" s="560"/>
      <c r="V26" s="579"/>
      <c r="W26" s="560"/>
      <c r="X26" s="613"/>
      <c r="Y26" s="560"/>
      <c r="Z26" s="12"/>
      <c r="AA26" s="560"/>
      <c r="AB26" s="579"/>
      <c r="AC26" s="560"/>
      <c r="AD26" s="560"/>
      <c r="AE26" s="407"/>
      <c r="AF26" s="407"/>
      <c r="AG26" s="407"/>
      <c r="AH26" s="616"/>
      <c r="AI26" s="407"/>
      <c r="AJ26" s="588"/>
      <c r="AK26" s="902"/>
      <c r="AL26" s="903"/>
      <c r="AM26" s="902" t="s">
        <v>31</v>
      </c>
      <c r="AN26" s="579">
        <v>1.87</v>
      </c>
      <c r="AO26" s="559" t="s">
        <v>17</v>
      </c>
      <c r="AP26" s="902">
        <v>114000</v>
      </c>
      <c r="AQ26" s="631"/>
      <c r="AS26" s="278"/>
      <c r="AT26" s="278"/>
      <c r="AU26" s="278"/>
      <c r="AV26" s="278"/>
      <c r="AW26" s="278"/>
      <c r="AX26" s="278"/>
      <c r="AY26" s="278"/>
    </row>
    <row r="27" spans="1:51" ht="39" customHeight="1">
      <c r="A27" s="968"/>
      <c r="B27" s="897"/>
      <c r="C27" s="898"/>
      <c r="D27" s="899"/>
      <c r="E27" s="900"/>
      <c r="F27" s="901"/>
      <c r="G27" s="509"/>
      <c r="H27" s="509"/>
      <c r="I27" s="18"/>
      <c r="J27" s="534"/>
      <c r="K27" s="274"/>
      <c r="L27" s="508"/>
      <c r="M27" s="509"/>
      <c r="N27" s="509"/>
      <c r="O27" s="509"/>
      <c r="P27" s="287"/>
      <c r="Q27" s="274"/>
      <c r="R27" s="508"/>
      <c r="S27" s="12"/>
      <c r="T27" s="560"/>
      <c r="U27" s="560"/>
      <c r="V27" s="579"/>
      <c r="W27" s="560"/>
      <c r="X27" s="613"/>
      <c r="Y27" s="560"/>
      <c r="Z27" s="12"/>
      <c r="AA27" s="560"/>
      <c r="AB27" s="579"/>
      <c r="AC27" s="560"/>
      <c r="AD27" s="560"/>
      <c r="AE27" s="407"/>
      <c r="AF27" s="407"/>
      <c r="AG27" s="407"/>
      <c r="AH27" s="616"/>
      <c r="AI27" s="407"/>
      <c r="AJ27" s="588"/>
      <c r="AK27" s="902"/>
      <c r="AL27" s="903"/>
      <c r="AM27" s="902"/>
      <c r="AN27" s="579">
        <f>F26/E26*AN26</f>
        <v>11220</v>
      </c>
      <c r="AO27" s="580" t="s">
        <v>32</v>
      </c>
      <c r="AP27" s="902"/>
      <c r="AQ27" s="631"/>
      <c r="AS27" s="278"/>
      <c r="AT27" s="278"/>
      <c r="AU27" s="278"/>
      <c r="AV27" s="278"/>
      <c r="AW27" s="278"/>
      <c r="AX27" s="278"/>
      <c r="AY27" s="278"/>
    </row>
    <row r="28" spans="1:51" ht="39" customHeight="1">
      <c r="A28" s="968">
        <v>11</v>
      </c>
      <c r="B28" s="897">
        <v>805672</v>
      </c>
      <c r="C28" s="898" t="s">
        <v>52</v>
      </c>
      <c r="D28" s="899" t="s">
        <v>866</v>
      </c>
      <c r="E28" s="900">
        <v>7.89</v>
      </c>
      <c r="F28" s="901">
        <v>54757</v>
      </c>
      <c r="G28" s="907" t="s">
        <v>53</v>
      </c>
      <c r="H28" s="907" t="s">
        <v>54</v>
      </c>
      <c r="I28" s="955" t="s">
        <v>31</v>
      </c>
      <c r="J28" s="274">
        <v>7.82</v>
      </c>
      <c r="K28" s="11" t="s">
        <v>17</v>
      </c>
      <c r="L28" s="866">
        <v>241625.56177999999</v>
      </c>
      <c r="M28" s="907"/>
      <c r="N28" s="907"/>
      <c r="O28" s="907"/>
      <c r="P28" s="274"/>
      <c r="Q28" s="11"/>
      <c r="R28" s="866"/>
      <c r="S28" s="12"/>
      <c r="T28" s="560"/>
      <c r="U28" s="560"/>
      <c r="V28" s="579"/>
      <c r="W28" s="560"/>
      <c r="X28" s="613"/>
      <c r="Y28" s="560"/>
      <c r="Z28" s="12"/>
      <c r="AA28" s="560"/>
      <c r="AB28" s="579"/>
      <c r="AC28" s="560"/>
      <c r="AD28" s="560"/>
      <c r="AE28" s="319"/>
      <c r="AF28" s="319"/>
      <c r="AG28" s="319"/>
      <c r="AH28" s="582"/>
      <c r="AI28" s="581"/>
      <c r="AJ28" s="581"/>
      <c r="AK28" s="12"/>
      <c r="AL28" s="560"/>
      <c r="AM28" s="560"/>
      <c r="AN28" s="579"/>
      <c r="AO28" s="560"/>
      <c r="AP28" s="560"/>
      <c r="AQ28" s="631"/>
      <c r="AS28" s="278"/>
      <c r="AT28" s="278"/>
      <c r="AU28" s="278"/>
      <c r="AV28" s="278"/>
      <c r="AW28" s="278"/>
      <c r="AX28" s="278"/>
      <c r="AY28" s="278"/>
    </row>
    <row r="29" spans="1:51" ht="32.25" customHeight="1">
      <c r="A29" s="968"/>
      <c r="B29" s="897"/>
      <c r="C29" s="898"/>
      <c r="D29" s="899"/>
      <c r="E29" s="900"/>
      <c r="F29" s="901"/>
      <c r="G29" s="907"/>
      <c r="H29" s="907"/>
      <c r="I29" s="955"/>
      <c r="J29" s="534">
        <v>59272</v>
      </c>
      <c r="K29" s="13" t="s">
        <v>32</v>
      </c>
      <c r="L29" s="866"/>
      <c r="M29" s="907"/>
      <c r="N29" s="907"/>
      <c r="O29" s="907"/>
      <c r="P29" s="534"/>
      <c r="Q29" s="13"/>
      <c r="R29" s="866"/>
      <c r="S29" s="12"/>
      <c r="T29" s="560"/>
      <c r="U29" s="560"/>
      <c r="V29" s="579"/>
      <c r="W29" s="560"/>
      <c r="X29" s="613"/>
      <c r="Y29" s="560"/>
      <c r="Z29" s="12"/>
      <c r="AA29" s="560"/>
      <c r="AB29" s="579"/>
      <c r="AC29" s="560"/>
      <c r="AD29" s="560"/>
      <c r="AE29" s="319"/>
      <c r="AF29" s="319"/>
      <c r="AG29" s="319"/>
      <c r="AH29" s="582"/>
      <c r="AI29" s="581"/>
      <c r="AJ29" s="581"/>
      <c r="AK29" s="12"/>
      <c r="AL29" s="560"/>
      <c r="AM29" s="560"/>
      <c r="AN29" s="579"/>
      <c r="AO29" s="560"/>
      <c r="AP29" s="560"/>
      <c r="AQ29" s="631"/>
      <c r="AS29" s="278"/>
      <c r="AT29" s="278"/>
      <c r="AU29" s="278"/>
      <c r="AV29" s="278"/>
      <c r="AW29" s="278"/>
      <c r="AX29" s="278"/>
      <c r="AY29" s="278"/>
    </row>
    <row r="30" spans="1:51" ht="21.75">
      <c r="A30" s="968">
        <v>12</v>
      </c>
      <c r="B30" s="897">
        <v>805455</v>
      </c>
      <c r="C30" s="898" t="s">
        <v>55</v>
      </c>
      <c r="D30" s="899" t="s">
        <v>867</v>
      </c>
      <c r="E30" s="900">
        <v>12.57</v>
      </c>
      <c r="F30" s="901">
        <v>87955</v>
      </c>
      <c r="G30" s="509"/>
      <c r="H30" s="509"/>
      <c r="I30" s="18"/>
      <c r="J30" s="534"/>
      <c r="K30" s="274"/>
      <c r="L30" s="508"/>
      <c r="M30" s="509"/>
      <c r="N30" s="509"/>
      <c r="O30" s="509"/>
      <c r="P30" s="287"/>
      <c r="Q30" s="274"/>
      <c r="R30" s="508"/>
      <c r="S30" s="12"/>
      <c r="T30" s="560"/>
      <c r="U30" s="560"/>
      <c r="V30" s="579"/>
      <c r="W30" s="560"/>
      <c r="X30" s="613"/>
      <c r="Y30" s="319"/>
      <c r="Z30" s="319"/>
      <c r="AA30" s="319"/>
      <c r="AB30" s="589"/>
      <c r="AC30" s="319"/>
      <c r="AD30" s="319"/>
      <c r="AE30" s="560"/>
      <c r="AF30" s="560"/>
      <c r="AG30" s="902" t="s">
        <v>31</v>
      </c>
      <c r="AH30" s="579">
        <v>1.5</v>
      </c>
      <c r="AI30" s="559" t="s">
        <v>17</v>
      </c>
      <c r="AJ30" s="903">
        <v>89560</v>
      </c>
      <c r="AK30" s="12"/>
      <c r="AL30" s="560"/>
      <c r="AM30" s="560"/>
      <c r="AN30" s="579"/>
      <c r="AO30" s="560"/>
      <c r="AP30" s="560"/>
      <c r="AQ30" s="631"/>
      <c r="AS30" s="278"/>
      <c r="AT30" s="278"/>
      <c r="AU30" s="278"/>
      <c r="AV30" s="278"/>
      <c r="AW30" s="278"/>
      <c r="AX30" s="278"/>
      <c r="AY30" s="278"/>
    </row>
    <row r="31" spans="1:51" ht="21.75">
      <c r="A31" s="968"/>
      <c r="B31" s="897"/>
      <c r="C31" s="898"/>
      <c r="D31" s="899"/>
      <c r="E31" s="900"/>
      <c r="F31" s="901"/>
      <c r="G31" s="509"/>
      <c r="H31" s="509"/>
      <c r="I31" s="18"/>
      <c r="J31" s="534"/>
      <c r="K31" s="274"/>
      <c r="L31" s="508"/>
      <c r="M31" s="509"/>
      <c r="N31" s="509"/>
      <c r="O31" s="509"/>
      <c r="P31" s="287"/>
      <c r="Q31" s="274"/>
      <c r="R31" s="508"/>
      <c r="S31" s="12"/>
      <c r="T31" s="560"/>
      <c r="U31" s="560"/>
      <c r="V31" s="579"/>
      <c r="W31" s="560"/>
      <c r="X31" s="613"/>
      <c r="Y31" s="319"/>
      <c r="Z31" s="319"/>
      <c r="AA31" s="319"/>
      <c r="AB31" s="589"/>
      <c r="AC31" s="319"/>
      <c r="AD31" s="319"/>
      <c r="AE31" s="560"/>
      <c r="AF31" s="560"/>
      <c r="AG31" s="902"/>
      <c r="AH31" s="579">
        <f>F30/E30*AH30</f>
        <v>10495.82338902148</v>
      </c>
      <c r="AI31" s="580" t="s">
        <v>32</v>
      </c>
      <c r="AJ31" s="903"/>
      <c r="AK31" s="12"/>
      <c r="AL31" s="560"/>
      <c r="AM31" s="560"/>
      <c r="AN31" s="579"/>
      <c r="AO31" s="560"/>
      <c r="AP31" s="560"/>
      <c r="AQ31" s="631"/>
      <c r="AS31" s="278"/>
      <c r="AT31" s="278"/>
      <c r="AU31" s="278"/>
      <c r="AV31" s="278"/>
      <c r="AW31" s="278"/>
      <c r="AX31" s="278"/>
      <c r="AY31" s="278"/>
    </row>
    <row r="32" spans="1:51" ht="21.75">
      <c r="A32" s="968">
        <v>13</v>
      </c>
      <c r="B32" s="897">
        <v>805861</v>
      </c>
      <c r="C32" s="898" t="s">
        <v>56</v>
      </c>
      <c r="D32" s="899" t="s">
        <v>868</v>
      </c>
      <c r="E32" s="900">
        <v>12.42</v>
      </c>
      <c r="F32" s="901">
        <v>74520</v>
      </c>
      <c r="G32" s="509"/>
      <c r="H32" s="509"/>
      <c r="I32" s="18"/>
      <c r="J32" s="534"/>
      <c r="K32" s="274"/>
      <c r="L32" s="508"/>
      <c r="M32" s="509"/>
      <c r="N32" s="509"/>
      <c r="O32" s="509"/>
      <c r="P32" s="287"/>
      <c r="Q32" s="274"/>
      <c r="R32" s="508"/>
      <c r="S32" s="12"/>
      <c r="T32" s="560"/>
      <c r="U32" s="560"/>
      <c r="V32" s="579"/>
      <c r="W32" s="560"/>
      <c r="X32" s="613"/>
      <c r="Y32" s="560"/>
      <c r="Z32" s="12"/>
      <c r="AA32" s="560"/>
      <c r="AB32" s="579"/>
      <c r="AC32" s="560"/>
      <c r="AD32" s="560"/>
      <c r="AE32" s="902"/>
      <c r="AF32" s="903"/>
      <c r="AG32" s="902" t="s">
        <v>31</v>
      </c>
      <c r="AH32" s="579">
        <v>2.5</v>
      </c>
      <c r="AI32" s="559" t="s">
        <v>17</v>
      </c>
      <c r="AJ32" s="903">
        <v>150000</v>
      </c>
      <c r="AK32" s="12"/>
      <c r="AL32" s="560"/>
      <c r="AM32" s="560"/>
      <c r="AN32" s="579"/>
      <c r="AO32" s="560"/>
      <c r="AP32" s="560"/>
      <c r="AQ32" s="631"/>
      <c r="AS32" s="278"/>
      <c r="AT32" s="278"/>
      <c r="AU32" s="278"/>
      <c r="AV32" s="278"/>
      <c r="AW32" s="278"/>
      <c r="AX32" s="278"/>
      <c r="AY32" s="278"/>
    </row>
    <row r="33" spans="1:51" ht="21.75">
      <c r="A33" s="968"/>
      <c r="B33" s="897"/>
      <c r="C33" s="898"/>
      <c r="D33" s="899"/>
      <c r="E33" s="900"/>
      <c r="F33" s="901"/>
      <c r="G33" s="509"/>
      <c r="H33" s="509"/>
      <c r="I33" s="18"/>
      <c r="J33" s="534"/>
      <c r="K33" s="274"/>
      <c r="L33" s="508"/>
      <c r="M33" s="509"/>
      <c r="N33" s="509"/>
      <c r="O33" s="509"/>
      <c r="P33" s="287"/>
      <c r="Q33" s="274"/>
      <c r="R33" s="508"/>
      <c r="S33" s="12"/>
      <c r="T33" s="560"/>
      <c r="U33" s="560"/>
      <c r="V33" s="579"/>
      <c r="W33" s="560"/>
      <c r="X33" s="613"/>
      <c r="Y33" s="560"/>
      <c r="Z33" s="12"/>
      <c r="AA33" s="560"/>
      <c r="AB33" s="579"/>
      <c r="AC33" s="560"/>
      <c r="AD33" s="560"/>
      <c r="AE33" s="902"/>
      <c r="AF33" s="903"/>
      <c r="AG33" s="902"/>
      <c r="AH33" s="579">
        <f>F32/E32*AH32</f>
        <v>15000</v>
      </c>
      <c r="AI33" s="580" t="s">
        <v>32</v>
      </c>
      <c r="AJ33" s="903"/>
      <c r="AK33" s="12"/>
      <c r="AL33" s="560"/>
      <c r="AM33" s="560"/>
      <c r="AN33" s="579"/>
      <c r="AO33" s="560"/>
      <c r="AP33" s="560"/>
      <c r="AQ33" s="631"/>
      <c r="AS33" s="278"/>
      <c r="AT33" s="278"/>
      <c r="AU33" s="278"/>
      <c r="AV33" s="278"/>
      <c r="AW33" s="278"/>
      <c r="AX33" s="278"/>
      <c r="AY33" s="278"/>
    </row>
    <row r="34" spans="1:51" ht="35.25" customHeight="1">
      <c r="A34" s="968">
        <v>14</v>
      </c>
      <c r="B34" s="897">
        <v>805504</v>
      </c>
      <c r="C34" s="898" t="s">
        <v>57</v>
      </c>
      <c r="D34" s="899" t="s">
        <v>869</v>
      </c>
      <c r="E34" s="900">
        <v>1.42</v>
      </c>
      <c r="F34" s="901">
        <v>8520</v>
      </c>
      <c r="G34" s="509"/>
      <c r="H34" s="509"/>
      <c r="I34" s="18"/>
      <c r="J34" s="534"/>
      <c r="K34" s="274"/>
      <c r="L34" s="508"/>
      <c r="M34" s="509"/>
      <c r="N34" s="509"/>
      <c r="O34" s="509"/>
      <c r="P34" s="287"/>
      <c r="Q34" s="274"/>
      <c r="R34" s="508"/>
      <c r="S34" s="12"/>
      <c r="T34" s="560"/>
      <c r="U34" s="560"/>
      <c r="V34" s="579"/>
      <c r="W34" s="560"/>
      <c r="X34" s="613"/>
      <c r="Y34" s="560"/>
      <c r="Z34" s="12"/>
      <c r="AA34" s="560"/>
      <c r="AB34" s="579"/>
      <c r="AC34" s="560"/>
      <c r="AD34" s="560"/>
      <c r="AE34" s="560"/>
      <c r="AF34" s="560"/>
      <c r="AG34" s="902" t="s">
        <v>31</v>
      </c>
      <c r="AH34" s="579">
        <v>1.27</v>
      </c>
      <c r="AI34" s="559" t="s">
        <v>17</v>
      </c>
      <c r="AJ34" s="903">
        <v>76200</v>
      </c>
      <c r="AK34" s="12"/>
      <c r="AL34" s="560"/>
      <c r="AM34" s="560"/>
      <c r="AN34" s="579"/>
      <c r="AO34" s="560"/>
      <c r="AP34" s="560"/>
      <c r="AQ34" s="631"/>
      <c r="AS34" s="278"/>
      <c r="AT34" s="278"/>
      <c r="AU34" s="278"/>
      <c r="AV34" s="278"/>
      <c r="AW34" s="278"/>
      <c r="AX34" s="278"/>
      <c r="AY34" s="278"/>
    </row>
    <row r="35" spans="1:51" ht="35.25" customHeight="1">
      <c r="A35" s="968"/>
      <c r="B35" s="897"/>
      <c r="C35" s="898"/>
      <c r="D35" s="899"/>
      <c r="E35" s="900"/>
      <c r="F35" s="901"/>
      <c r="G35" s="509"/>
      <c r="H35" s="509"/>
      <c r="I35" s="18"/>
      <c r="J35" s="534"/>
      <c r="K35" s="274"/>
      <c r="L35" s="508"/>
      <c r="M35" s="509"/>
      <c r="N35" s="509"/>
      <c r="O35" s="509"/>
      <c r="P35" s="287"/>
      <c r="Q35" s="274"/>
      <c r="R35" s="508"/>
      <c r="S35" s="12"/>
      <c r="T35" s="560"/>
      <c r="U35" s="560"/>
      <c r="V35" s="579"/>
      <c r="W35" s="560"/>
      <c r="X35" s="613"/>
      <c r="Y35" s="560"/>
      <c r="Z35" s="12"/>
      <c r="AA35" s="560"/>
      <c r="AB35" s="579"/>
      <c r="AC35" s="560"/>
      <c r="AD35" s="560"/>
      <c r="AE35" s="560"/>
      <c r="AF35" s="560"/>
      <c r="AG35" s="902"/>
      <c r="AH35" s="579">
        <f>F34/E34*AH34</f>
        <v>7620</v>
      </c>
      <c r="AI35" s="580" t="s">
        <v>32</v>
      </c>
      <c r="AJ35" s="903"/>
      <c r="AK35" s="12"/>
      <c r="AL35" s="560"/>
      <c r="AM35" s="560"/>
      <c r="AN35" s="579"/>
      <c r="AO35" s="560"/>
      <c r="AP35" s="560"/>
      <c r="AQ35" s="631"/>
      <c r="AS35" s="278"/>
      <c r="AT35" s="278"/>
      <c r="AU35" s="278"/>
      <c r="AV35" s="278"/>
      <c r="AW35" s="278"/>
      <c r="AX35" s="278"/>
      <c r="AY35" s="278"/>
    </row>
    <row r="36" spans="1:51" ht="35.25" customHeight="1">
      <c r="A36" s="968">
        <v>15</v>
      </c>
      <c r="B36" s="897">
        <v>805566</v>
      </c>
      <c r="C36" s="898" t="s">
        <v>58</v>
      </c>
      <c r="D36" s="899" t="s">
        <v>870</v>
      </c>
      <c r="E36" s="900">
        <v>1.96</v>
      </c>
      <c r="F36" s="901">
        <v>11760</v>
      </c>
      <c r="G36" s="509"/>
      <c r="H36" s="509"/>
      <c r="I36" s="18"/>
      <c r="J36" s="534"/>
      <c r="K36" s="274"/>
      <c r="L36" s="508"/>
      <c r="M36" s="907"/>
      <c r="N36" s="907"/>
      <c r="O36" s="907"/>
      <c r="P36" s="287"/>
      <c r="Q36" s="514"/>
      <c r="R36" s="866"/>
      <c r="S36" s="907"/>
      <c r="T36" s="907"/>
      <c r="U36" s="907"/>
      <c r="V36" s="287"/>
      <c r="W36" s="514"/>
      <c r="X36" s="866"/>
      <c r="Y36" s="560"/>
      <c r="Z36" s="12"/>
      <c r="AA36" s="560"/>
      <c r="AB36" s="579"/>
      <c r="AC36" s="560"/>
      <c r="AD36" s="560"/>
      <c r="AE36" s="560"/>
      <c r="AF36" s="560"/>
      <c r="AG36" s="902" t="s">
        <v>31</v>
      </c>
      <c r="AH36" s="579">
        <v>2.5</v>
      </c>
      <c r="AI36" s="559" t="s">
        <v>17</v>
      </c>
      <c r="AJ36" s="903">
        <v>150000</v>
      </c>
      <c r="AK36" s="12"/>
      <c r="AL36" s="560"/>
      <c r="AM36" s="560"/>
      <c r="AN36" s="579"/>
      <c r="AO36" s="560"/>
      <c r="AP36" s="560"/>
      <c r="AQ36" s="631"/>
      <c r="AS36" s="278"/>
      <c r="AT36" s="278"/>
      <c r="AU36" s="278"/>
      <c r="AV36" s="278"/>
      <c r="AW36" s="278"/>
      <c r="AX36" s="278"/>
      <c r="AY36" s="278"/>
    </row>
    <row r="37" spans="1:51" ht="35.25" customHeight="1">
      <c r="A37" s="968"/>
      <c r="B37" s="897"/>
      <c r="C37" s="898"/>
      <c r="D37" s="899"/>
      <c r="E37" s="900"/>
      <c r="F37" s="901"/>
      <c r="G37" s="509"/>
      <c r="H37" s="509"/>
      <c r="I37" s="18"/>
      <c r="J37" s="534"/>
      <c r="K37" s="274"/>
      <c r="L37" s="508"/>
      <c r="M37" s="907"/>
      <c r="N37" s="907"/>
      <c r="O37" s="907"/>
      <c r="P37" s="287"/>
      <c r="Q37" s="583"/>
      <c r="R37" s="866"/>
      <c r="S37" s="907"/>
      <c r="T37" s="907"/>
      <c r="U37" s="907"/>
      <c r="V37" s="287"/>
      <c r="W37" s="583"/>
      <c r="X37" s="866"/>
      <c r="Y37" s="560"/>
      <c r="Z37" s="12"/>
      <c r="AA37" s="560"/>
      <c r="AB37" s="579"/>
      <c r="AC37" s="560"/>
      <c r="AD37" s="560"/>
      <c r="AE37" s="560"/>
      <c r="AF37" s="560"/>
      <c r="AG37" s="902"/>
      <c r="AH37" s="579">
        <f>F36/E36*AH36</f>
        <v>15000</v>
      </c>
      <c r="AI37" s="580" t="s">
        <v>32</v>
      </c>
      <c r="AJ37" s="903"/>
      <c r="AK37" s="12"/>
      <c r="AL37" s="560"/>
      <c r="AM37" s="560"/>
      <c r="AN37" s="579"/>
      <c r="AO37" s="560"/>
      <c r="AP37" s="560"/>
      <c r="AQ37" s="631"/>
      <c r="AS37" s="278"/>
      <c r="AT37" s="278"/>
      <c r="AU37" s="278"/>
      <c r="AV37" s="278"/>
      <c r="AW37" s="278"/>
      <c r="AX37" s="278"/>
      <c r="AY37" s="278"/>
    </row>
    <row r="38" spans="1:51" ht="35.25" customHeight="1">
      <c r="A38" s="968">
        <v>16</v>
      </c>
      <c r="B38" s="897">
        <v>805800</v>
      </c>
      <c r="C38" s="898" t="s">
        <v>59</v>
      </c>
      <c r="D38" s="899" t="s">
        <v>871</v>
      </c>
      <c r="E38" s="900">
        <v>12.5</v>
      </c>
      <c r="F38" s="901">
        <v>75000</v>
      </c>
      <c r="G38" s="509"/>
      <c r="H38" s="509"/>
      <c r="I38" s="18"/>
      <c r="J38" s="534"/>
      <c r="K38" s="274"/>
      <c r="L38" s="508"/>
      <c r="M38" s="907" t="s">
        <v>60</v>
      </c>
      <c r="N38" s="907" t="s">
        <v>2561</v>
      </c>
      <c r="O38" s="955" t="s">
        <v>114</v>
      </c>
      <c r="P38" s="287">
        <v>6.5</v>
      </c>
      <c r="Q38" s="514" t="s">
        <v>17</v>
      </c>
      <c r="R38" s="866">
        <v>110000</v>
      </c>
      <c r="S38" s="12"/>
      <c r="T38" s="560"/>
      <c r="U38" s="560"/>
      <c r="V38" s="579"/>
      <c r="W38" s="560"/>
      <c r="X38" s="613"/>
      <c r="Y38" s="560"/>
      <c r="Z38" s="12"/>
      <c r="AA38" s="560"/>
      <c r="AB38" s="579"/>
      <c r="AC38" s="560"/>
      <c r="AD38" s="560"/>
      <c r="AE38" s="560"/>
      <c r="AF38" s="560"/>
      <c r="AG38" s="560"/>
      <c r="AH38" s="579"/>
      <c r="AI38" s="560"/>
      <c r="AJ38" s="560"/>
      <c r="AK38" s="12"/>
      <c r="AL38" s="560"/>
      <c r="AM38" s="560"/>
      <c r="AN38" s="579"/>
      <c r="AO38" s="560"/>
      <c r="AP38" s="560"/>
      <c r="AQ38" s="631"/>
      <c r="AS38" s="278"/>
      <c r="AT38" s="278"/>
      <c r="AU38" s="278"/>
      <c r="AV38" s="278"/>
      <c r="AW38" s="278"/>
      <c r="AX38" s="278"/>
      <c r="AY38" s="278"/>
    </row>
    <row r="39" spans="1:51" ht="35.25" customHeight="1">
      <c r="A39" s="968"/>
      <c r="B39" s="897"/>
      <c r="C39" s="898"/>
      <c r="D39" s="899"/>
      <c r="E39" s="900"/>
      <c r="F39" s="901"/>
      <c r="G39" s="509"/>
      <c r="H39" s="509"/>
      <c r="I39" s="18"/>
      <c r="J39" s="534"/>
      <c r="K39" s="274"/>
      <c r="L39" s="508"/>
      <c r="M39" s="907"/>
      <c r="N39" s="907"/>
      <c r="O39" s="955"/>
      <c r="P39" s="287">
        <f>P38*F38/E38</f>
        <v>39000</v>
      </c>
      <c r="Q39" s="583" t="s">
        <v>32</v>
      </c>
      <c r="R39" s="866"/>
      <c r="S39" s="12"/>
      <c r="T39" s="560"/>
      <c r="U39" s="560"/>
      <c r="V39" s="579"/>
      <c r="W39" s="560"/>
      <c r="X39" s="613"/>
      <c r="Y39" s="560"/>
      <c r="Z39" s="12"/>
      <c r="AA39" s="560"/>
      <c r="AB39" s="579"/>
      <c r="AC39" s="560"/>
      <c r="AD39" s="560"/>
      <c r="AE39" s="560"/>
      <c r="AF39" s="560"/>
      <c r="AG39" s="560"/>
      <c r="AH39" s="579"/>
      <c r="AI39" s="560"/>
      <c r="AJ39" s="560"/>
      <c r="AK39" s="12"/>
      <c r="AL39" s="560"/>
      <c r="AM39" s="560"/>
      <c r="AN39" s="579"/>
      <c r="AO39" s="560"/>
      <c r="AP39" s="560"/>
      <c r="AQ39" s="631"/>
      <c r="AS39" s="278"/>
      <c r="AT39" s="278"/>
      <c r="AU39" s="278"/>
      <c r="AV39" s="278"/>
      <c r="AW39" s="278"/>
      <c r="AX39" s="278"/>
      <c r="AY39" s="278"/>
    </row>
    <row r="40" spans="1:51" ht="21.75">
      <c r="A40" s="968">
        <v>17</v>
      </c>
      <c r="B40" s="897">
        <v>805510</v>
      </c>
      <c r="C40" s="898" t="s">
        <v>62</v>
      </c>
      <c r="D40" s="899" t="s">
        <v>872</v>
      </c>
      <c r="E40" s="900">
        <v>5.98</v>
      </c>
      <c r="F40" s="901">
        <v>53820</v>
      </c>
      <c r="G40" s="509"/>
      <c r="H40" s="509"/>
      <c r="I40" s="18"/>
      <c r="J40" s="534"/>
      <c r="K40" s="274"/>
      <c r="L40" s="508"/>
      <c r="M40" s="907" t="s">
        <v>60</v>
      </c>
      <c r="N40" s="907" t="s">
        <v>1294</v>
      </c>
      <c r="O40" s="955" t="s">
        <v>114</v>
      </c>
      <c r="P40" s="287">
        <v>6</v>
      </c>
      <c r="Q40" s="514" t="s">
        <v>17</v>
      </c>
      <c r="R40" s="866">
        <v>131200</v>
      </c>
      <c r="S40" s="907"/>
      <c r="T40" s="907"/>
      <c r="U40" s="907"/>
      <c r="V40" s="287"/>
      <c r="W40" s="514"/>
      <c r="X40" s="866"/>
      <c r="Y40" s="907" t="s">
        <v>1294</v>
      </c>
      <c r="Z40" s="907" t="s">
        <v>1295</v>
      </c>
      <c r="AA40" s="902" t="s">
        <v>31</v>
      </c>
      <c r="AB40" s="579">
        <v>1</v>
      </c>
      <c r="AC40" s="559" t="s">
        <v>17</v>
      </c>
      <c r="AD40" s="903">
        <f>AB40*24000</f>
        <v>24000</v>
      </c>
      <c r="AE40" s="560"/>
      <c r="AF40" s="560"/>
      <c r="AG40" s="560"/>
      <c r="AH40" s="579"/>
      <c r="AI40" s="560"/>
      <c r="AJ40" s="560"/>
      <c r="AK40" s="12"/>
      <c r="AL40" s="560"/>
      <c r="AM40" s="560"/>
      <c r="AN40" s="579"/>
      <c r="AO40" s="560"/>
      <c r="AP40" s="560"/>
      <c r="AQ40" s="631"/>
      <c r="AS40" s="278"/>
      <c r="AT40" s="278"/>
      <c r="AU40" s="278"/>
      <c r="AV40" s="278"/>
      <c r="AW40" s="278"/>
      <c r="AX40" s="278"/>
      <c r="AY40" s="278"/>
    </row>
    <row r="41" spans="1:51" ht="21.75">
      <c r="A41" s="968"/>
      <c r="B41" s="897"/>
      <c r="C41" s="898"/>
      <c r="D41" s="899"/>
      <c r="E41" s="900"/>
      <c r="F41" s="901"/>
      <c r="G41" s="509"/>
      <c r="H41" s="509"/>
      <c r="I41" s="18"/>
      <c r="J41" s="534"/>
      <c r="K41" s="274"/>
      <c r="L41" s="508"/>
      <c r="M41" s="907"/>
      <c r="N41" s="907"/>
      <c r="O41" s="955"/>
      <c r="P41" s="287">
        <f>P40*F40/E40</f>
        <v>53999.999999999993</v>
      </c>
      <c r="Q41" s="583" t="s">
        <v>32</v>
      </c>
      <c r="R41" s="866"/>
      <c r="S41" s="907"/>
      <c r="T41" s="907"/>
      <c r="U41" s="907"/>
      <c r="V41" s="287"/>
      <c r="W41" s="583"/>
      <c r="X41" s="866"/>
      <c r="Y41" s="907"/>
      <c r="Z41" s="907"/>
      <c r="AA41" s="902"/>
      <c r="AB41" s="579">
        <f>F40/E40*AB40</f>
        <v>9000</v>
      </c>
      <c r="AC41" s="580" t="s">
        <v>32</v>
      </c>
      <c r="AD41" s="903"/>
      <c r="AE41" s="560"/>
      <c r="AF41" s="560"/>
      <c r="AG41" s="560"/>
      <c r="AH41" s="579"/>
      <c r="AI41" s="560"/>
      <c r="AJ41" s="560"/>
      <c r="AK41" s="12"/>
      <c r="AL41" s="560"/>
      <c r="AM41" s="560"/>
      <c r="AN41" s="579"/>
      <c r="AO41" s="560"/>
      <c r="AP41" s="560"/>
      <c r="AQ41" s="631"/>
      <c r="AS41" s="278"/>
      <c r="AT41" s="278"/>
      <c r="AU41" s="278"/>
      <c r="AV41" s="278"/>
      <c r="AW41" s="278"/>
      <c r="AX41" s="278"/>
      <c r="AY41" s="278"/>
    </row>
    <row r="42" spans="1:51" ht="21.75">
      <c r="A42" s="968">
        <v>18</v>
      </c>
      <c r="B42" s="897">
        <v>805462</v>
      </c>
      <c r="C42" s="898" t="s">
        <v>873</v>
      </c>
      <c r="D42" s="899" t="s">
        <v>874</v>
      </c>
      <c r="E42" s="900">
        <v>14.14</v>
      </c>
      <c r="F42" s="901">
        <v>127242</v>
      </c>
      <c r="G42" s="907" t="s">
        <v>64</v>
      </c>
      <c r="H42" s="907" t="s">
        <v>65</v>
      </c>
      <c r="I42" s="955" t="s">
        <v>114</v>
      </c>
      <c r="J42" s="274">
        <v>2.41</v>
      </c>
      <c r="K42" s="11" t="s">
        <v>17</v>
      </c>
      <c r="L42" s="866">
        <v>26011.160960000001</v>
      </c>
      <c r="M42" s="509"/>
      <c r="N42" s="509"/>
      <c r="O42" s="509"/>
      <c r="P42" s="287"/>
      <c r="Q42" s="274"/>
      <c r="R42" s="508"/>
      <c r="S42" s="12"/>
      <c r="T42" s="560"/>
      <c r="U42" s="560"/>
      <c r="V42" s="579"/>
      <c r="W42" s="560"/>
      <c r="X42" s="613"/>
      <c r="Y42" s="560"/>
      <c r="Z42" s="12"/>
      <c r="AA42" s="560"/>
      <c r="AB42" s="579"/>
      <c r="AC42" s="560"/>
      <c r="AD42" s="560"/>
      <c r="AE42" s="560"/>
      <c r="AF42" s="560"/>
      <c r="AG42" s="560"/>
      <c r="AH42" s="579"/>
      <c r="AI42" s="560"/>
      <c r="AJ42" s="560"/>
      <c r="AK42" s="12"/>
      <c r="AL42" s="560"/>
      <c r="AM42" s="560"/>
      <c r="AN42" s="579"/>
      <c r="AO42" s="560"/>
      <c r="AP42" s="560"/>
      <c r="AQ42" s="631"/>
      <c r="AS42" s="278"/>
      <c r="AT42" s="278"/>
      <c r="AU42" s="278"/>
      <c r="AV42" s="278"/>
      <c r="AW42" s="278"/>
      <c r="AX42" s="278"/>
      <c r="AY42" s="278"/>
    </row>
    <row r="43" spans="1:51" ht="21.75">
      <c r="A43" s="968"/>
      <c r="B43" s="897"/>
      <c r="C43" s="898"/>
      <c r="D43" s="899"/>
      <c r="E43" s="900"/>
      <c r="F43" s="901"/>
      <c r="G43" s="907"/>
      <c r="H43" s="907"/>
      <c r="I43" s="955"/>
      <c r="J43" s="534">
        <v>21610</v>
      </c>
      <c r="K43" s="13" t="s">
        <v>32</v>
      </c>
      <c r="L43" s="866"/>
      <c r="M43" s="509"/>
      <c r="N43" s="509"/>
      <c r="O43" s="509"/>
      <c r="P43" s="287"/>
      <c r="Q43" s="274"/>
      <c r="R43" s="508"/>
      <c r="S43" s="12"/>
      <c r="T43" s="560"/>
      <c r="U43" s="560"/>
      <c r="V43" s="579"/>
      <c r="W43" s="560"/>
      <c r="X43" s="613"/>
      <c r="Y43" s="560"/>
      <c r="Z43" s="12"/>
      <c r="AA43" s="560"/>
      <c r="AB43" s="579"/>
      <c r="AC43" s="560"/>
      <c r="AD43" s="560"/>
      <c r="AE43" s="560"/>
      <c r="AF43" s="560"/>
      <c r="AG43" s="560"/>
      <c r="AH43" s="579"/>
      <c r="AI43" s="560"/>
      <c r="AJ43" s="560"/>
      <c r="AK43" s="12"/>
      <c r="AL43" s="560"/>
      <c r="AM43" s="560"/>
      <c r="AN43" s="579"/>
      <c r="AO43" s="560"/>
      <c r="AP43" s="560"/>
      <c r="AQ43" s="631"/>
      <c r="AS43" s="278"/>
      <c r="AT43" s="278"/>
      <c r="AU43" s="278"/>
      <c r="AV43" s="278"/>
      <c r="AW43" s="278"/>
      <c r="AX43" s="278"/>
      <c r="AY43" s="278"/>
    </row>
    <row r="44" spans="1:51" ht="39">
      <c r="A44" s="968"/>
      <c r="B44" s="897"/>
      <c r="C44" s="898"/>
      <c r="D44" s="899"/>
      <c r="E44" s="900"/>
      <c r="F44" s="901"/>
      <c r="G44" s="955" t="s">
        <v>66</v>
      </c>
      <c r="H44" s="955" t="s">
        <v>67</v>
      </c>
      <c r="I44" s="18" t="s">
        <v>68</v>
      </c>
      <c r="J44" s="534">
        <v>2000</v>
      </c>
      <c r="K44" s="274" t="s">
        <v>2681</v>
      </c>
      <c r="L44" s="508">
        <v>6790</v>
      </c>
      <c r="M44" s="509"/>
      <c r="N44" s="509"/>
      <c r="O44" s="509"/>
      <c r="P44" s="287"/>
      <c r="Q44" s="274"/>
      <c r="R44" s="508"/>
      <c r="S44" s="12"/>
      <c r="T44" s="560"/>
      <c r="U44" s="560"/>
      <c r="V44" s="579"/>
      <c r="W44" s="560"/>
      <c r="X44" s="613"/>
      <c r="Y44" s="560"/>
      <c r="Z44" s="12"/>
      <c r="AA44" s="560"/>
      <c r="AB44" s="579"/>
      <c r="AC44" s="560"/>
      <c r="AD44" s="560"/>
      <c r="AE44" s="560"/>
      <c r="AF44" s="560"/>
      <c r="AG44" s="560"/>
      <c r="AH44" s="579"/>
      <c r="AI44" s="560"/>
      <c r="AJ44" s="560"/>
      <c r="AK44" s="12"/>
      <c r="AL44" s="560"/>
      <c r="AM44" s="560"/>
      <c r="AN44" s="579"/>
      <c r="AO44" s="560"/>
      <c r="AP44" s="560"/>
      <c r="AQ44" s="631"/>
      <c r="AS44" s="278"/>
      <c r="AT44" s="278"/>
      <c r="AU44" s="278"/>
      <c r="AV44" s="278"/>
      <c r="AW44" s="278"/>
      <c r="AX44" s="278"/>
      <c r="AY44" s="278"/>
    </row>
    <row r="45" spans="1:51" ht="39">
      <c r="A45" s="968"/>
      <c r="B45" s="897"/>
      <c r="C45" s="898"/>
      <c r="D45" s="899"/>
      <c r="E45" s="900"/>
      <c r="F45" s="901"/>
      <c r="G45" s="955"/>
      <c r="H45" s="955"/>
      <c r="I45" s="512" t="s">
        <v>2682</v>
      </c>
      <c r="J45" s="534">
        <v>1</v>
      </c>
      <c r="K45" s="507" t="s">
        <v>118</v>
      </c>
      <c r="L45" s="336">
        <v>19.26942</v>
      </c>
      <c r="M45" s="509"/>
      <c r="N45" s="509"/>
      <c r="O45" s="509"/>
      <c r="P45" s="287"/>
      <c r="Q45" s="274"/>
      <c r="R45" s="508"/>
      <c r="S45" s="12"/>
      <c r="T45" s="560"/>
      <c r="U45" s="560"/>
      <c r="V45" s="579"/>
      <c r="W45" s="560"/>
      <c r="X45" s="613"/>
      <c r="Y45" s="560"/>
      <c r="Z45" s="12"/>
      <c r="AA45" s="560"/>
      <c r="AB45" s="579"/>
      <c r="AC45" s="560"/>
      <c r="AD45" s="560"/>
      <c r="AE45" s="560"/>
      <c r="AF45" s="560"/>
      <c r="AG45" s="560"/>
      <c r="AH45" s="579"/>
      <c r="AI45" s="560"/>
      <c r="AJ45" s="560"/>
      <c r="AK45" s="12"/>
      <c r="AL45" s="560"/>
      <c r="AM45" s="560"/>
      <c r="AN45" s="579"/>
      <c r="AO45" s="560"/>
      <c r="AP45" s="560"/>
      <c r="AQ45" s="631"/>
      <c r="AS45" s="278"/>
      <c r="AT45" s="278"/>
      <c r="AU45" s="278"/>
      <c r="AV45" s="278"/>
      <c r="AW45" s="278"/>
      <c r="AX45" s="278"/>
      <c r="AY45" s="278"/>
    </row>
    <row r="46" spans="1:51" ht="21.75">
      <c r="A46" s="968">
        <v>19</v>
      </c>
      <c r="B46" s="897">
        <v>805807</v>
      </c>
      <c r="C46" s="898" t="s">
        <v>69</v>
      </c>
      <c r="D46" s="899" t="s">
        <v>693</v>
      </c>
      <c r="E46" s="900">
        <v>46.2</v>
      </c>
      <c r="F46" s="901">
        <v>433810</v>
      </c>
      <c r="G46" s="514"/>
      <c r="H46" s="514"/>
      <c r="I46" s="18"/>
      <c r="J46" s="534"/>
      <c r="K46" s="274"/>
      <c r="L46" s="508"/>
      <c r="M46" s="509"/>
      <c r="N46" s="509"/>
      <c r="O46" s="509"/>
      <c r="P46" s="287"/>
      <c r="Q46" s="274"/>
      <c r="R46" s="508"/>
      <c r="S46" s="12"/>
      <c r="T46" s="560"/>
      <c r="U46" s="560"/>
      <c r="V46" s="579"/>
      <c r="W46" s="560"/>
      <c r="X46" s="613"/>
      <c r="Y46" s="560"/>
      <c r="Z46" s="12"/>
      <c r="AA46" s="560"/>
      <c r="AB46" s="579"/>
      <c r="AC46" s="560"/>
      <c r="AD46" s="560"/>
      <c r="AE46" s="12"/>
      <c r="AF46" s="12"/>
      <c r="AG46" s="12"/>
      <c r="AH46" s="584"/>
      <c r="AI46" s="12"/>
      <c r="AJ46" s="113"/>
      <c r="AK46" s="12"/>
      <c r="AL46" s="560"/>
      <c r="AM46" s="560"/>
      <c r="AN46" s="579"/>
      <c r="AO46" s="560"/>
      <c r="AP46" s="560"/>
      <c r="AQ46" s="631"/>
      <c r="AS46" s="278"/>
      <c r="AT46" s="278"/>
      <c r="AU46" s="278"/>
      <c r="AV46" s="278"/>
      <c r="AW46" s="278"/>
      <c r="AX46" s="278"/>
      <c r="AY46" s="278"/>
    </row>
    <row r="47" spans="1:51" ht="21.75">
      <c r="A47" s="968"/>
      <c r="B47" s="897"/>
      <c r="C47" s="898"/>
      <c r="D47" s="899"/>
      <c r="E47" s="900"/>
      <c r="F47" s="901"/>
      <c r="G47" s="907" t="s">
        <v>71</v>
      </c>
      <c r="H47" s="907" t="s">
        <v>2993</v>
      </c>
      <c r="I47" s="955" t="s">
        <v>31</v>
      </c>
      <c r="J47" s="274">
        <v>10.048</v>
      </c>
      <c r="K47" s="11" t="s">
        <v>17</v>
      </c>
      <c r="L47" s="962">
        <f>155397.97985+117003.12576</f>
        <v>272401.10560999997</v>
      </c>
      <c r="M47" s="509"/>
      <c r="N47" s="509"/>
      <c r="O47" s="509"/>
      <c r="P47" s="287"/>
      <c r="Q47" s="274"/>
      <c r="R47" s="508"/>
      <c r="S47" s="12"/>
      <c r="T47" s="560"/>
      <c r="U47" s="560"/>
      <c r="V47" s="579"/>
      <c r="W47" s="560"/>
      <c r="X47" s="613"/>
      <c r="Y47" s="560"/>
      <c r="Z47" s="12"/>
      <c r="AA47" s="560"/>
      <c r="AB47" s="579"/>
      <c r="AC47" s="560"/>
      <c r="AD47" s="560"/>
      <c r="AE47" s="560"/>
      <c r="AF47" s="560"/>
      <c r="AG47" s="560"/>
      <c r="AH47" s="579"/>
      <c r="AI47" s="560"/>
      <c r="AJ47" s="560"/>
      <c r="AK47" s="12"/>
      <c r="AL47" s="560"/>
      <c r="AM47" s="560"/>
      <c r="AN47" s="579"/>
      <c r="AO47" s="560"/>
      <c r="AP47" s="560"/>
      <c r="AQ47" s="631"/>
      <c r="AS47" s="278"/>
      <c r="AT47" s="278"/>
      <c r="AU47" s="278"/>
      <c r="AV47" s="278"/>
      <c r="AW47" s="278"/>
      <c r="AX47" s="278"/>
      <c r="AY47" s="278"/>
    </row>
    <row r="48" spans="1:51" ht="21.75">
      <c r="A48" s="968"/>
      <c r="B48" s="897"/>
      <c r="C48" s="898"/>
      <c r="D48" s="899"/>
      <c r="E48" s="900"/>
      <c r="F48" s="901"/>
      <c r="G48" s="907"/>
      <c r="H48" s="907"/>
      <c r="I48" s="955"/>
      <c r="J48" s="534">
        <v>99070.79</v>
      </c>
      <c r="K48" s="13" t="s">
        <v>32</v>
      </c>
      <c r="L48" s="963"/>
      <c r="M48" s="509"/>
      <c r="N48" s="509"/>
      <c r="O48" s="509"/>
      <c r="P48" s="287"/>
      <c r="Q48" s="274"/>
      <c r="R48" s="508"/>
      <c r="S48" s="12"/>
      <c r="T48" s="560"/>
      <c r="U48" s="560"/>
      <c r="V48" s="579"/>
      <c r="W48" s="560"/>
      <c r="X48" s="613"/>
      <c r="Y48" s="560"/>
      <c r="Z48" s="12"/>
      <c r="AA48" s="560"/>
      <c r="AB48" s="579"/>
      <c r="AC48" s="560"/>
      <c r="AD48" s="560"/>
      <c r="AE48" s="560"/>
      <c r="AF48" s="560"/>
      <c r="AG48" s="560"/>
      <c r="AH48" s="579"/>
      <c r="AI48" s="560"/>
      <c r="AJ48" s="560"/>
      <c r="AK48" s="12"/>
      <c r="AL48" s="560"/>
      <c r="AM48" s="560"/>
      <c r="AN48" s="579"/>
      <c r="AO48" s="560"/>
      <c r="AP48" s="560"/>
      <c r="AQ48" s="631"/>
      <c r="AS48" s="278"/>
      <c r="AT48" s="278"/>
      <c r="AU48" s="278"/>
      <c r="AV48" s="278"/>
      <c r="AW48" s="278"/>
      <c r="AX48" s="278"/>
      <c r="AY48" s="278"/>
    </row>
    <row r="49" spans="1:51" ht="39">
      <c r="A49" s="968"/>
      <c r="B49" s="897"/>
      <c r="C49" s="898"/>
      <c r="D49" s="899"/>
      <c r="E49" s="900"/>
      <c r="F49" s="901"/>
      <c r="G49" s="907"/>
      <c r="H49" s="907"/>
      <c r="I49" s="512" t="s">
        <v>2682</v>
      </c>
      <c r="J49" s="534">
        <v>1</v>
      </c>
      <c r="K49" s="507" t="s">
        <v>118</v>
      </c>
      <c r="L49" s="336">
        <v>19.26942</v>
      </c>
      <c r="M49" s="509"/>
      <c r="N49" s="509"/>
      <c r="O49" s="509"/>
      <c r="P49" s="287"/>
      <c r="Q49" s="274"/>
      <c r="R49" s="508"/>
      <c r="S49" s="12"/>
      <c r="T49" s="560"/>
      <c r="U49" s="560"/>
      <c r="V49" s="579"/>
      <c r="W49" s="560"/>
      <c r="X49" s="613"/>
      <c r="Y49" s="560"/>
      <c r="Z49" s="12"/>
      <c r="AA49" s="560"/>
      <c r="AB49" s="579"/>
      <c r="AC49" s="560"/>
      <c r="AD49" s="560"/>
      <c r="AE49" s="560"/>
      <c r="AF49" s="560"/>
      <c r="AG49" s="560"/>
      <c r="AH49" s="579"/>
      <c r="AI49" s="560"/>
      <c r="AJ49" s="560"/>
      <c r="AK49" s="12"/>
      <c r="AL49" s="560"/>
      <c r="AM49" s="560"/>
      <c r="AN49" s="579"/>
      <c r="AO49" s="560"/>
      <c r="AP49" s="560"/>
      <c r="AQ49" s="631"/>
      <c r="AS49" s="278"/>
      <c r="AT49" s="278"/>
      <c r="AU49" s="278"/>
      <c r="AV49" s="278"/>
      <c r="AW49" s="278"/>
      <c r="AX49" s="278"/>
      <c r="AY49" s="278"/>
    </row>
    <row r="50" spans="1:51" ht="39">
      <c r="A50" s="968"/>
      <c r="B50" s="897"/>
      <c r="C50" s="898"/>
      <c r="D50" s="899"/>
      <c r="E50" s="900"/>
      <c r="F50" s="901"/>
      <c r="G50" s="907"/>
      <c r="H50" s="907"/>
      <c r="I50" s="512" t="s">
        <v>2682</v>
      </c>
      <c r="J50" s="534">
        <v>1</v>
      </c>
      <c r="K50" s="507" t="s">
        <v>118</v>
      </c>
      <c r="L50" s="336">
        <v>120.57599999999999</v>
      </c>
      <c r="M50" s="509"/>
      <c r="N50" s="509"/>
      <c r="O50" s="509"/>
      <c r="P50" s="287"/>
      <c r="Q50" s="274"/>
      <c r="R50" s="508"/>
      <c r="S50" s="12"/>
      <c r="T50" s="560"/>
      <c r="U50" s="560"/>
      <c r="V50" s="579"/>
      <c r="W50" s="560"/>
      <c r="X50" s="613"/>
      <c r="Y50" s="560"/>
      <c r="Z50" s="12"/>
      <c r="AA50" s="560"/>
      <c r="AB50" s="579"/>
      <c r="AC50" s="560"/>
      <c r="AD50" s="560"/>
      <c r="AE50" s="560"/>
      <c r="AF50" s="560"/>
      <c r="AG50" s="560"/>
      <c r="AH50" s="579"/>
      <c r="AI50" s="560"/>
      <c r="AJ50" s="560"/>
      <c r="AK50" s="12"/>
      <c r="AL50" s="560"/>
      <c r="AM50" s="560"/>
      <c r="AN50" s="579"/>
      <c r="AO50" s="560"/>
      <c r="AP50" s="560"/>
      <c r="AQ50" s="631"/>
      <c r="AS50" s="278"/>
      <c r="AT50" s="278"/>
      <c r="AU50" s="278"/>
      <c r="AV50" s="278"/>
      <c r="AW50" s="278"/>
      <c r="AX50" s="278"/>
      <c r="AY50" s="278"/>
    </row>
    <row r="51" spans="1:51" ht="21.75">
      <c r="A51" s="968"/>
      <c r="B51" s="897"/>
      <c r="C51" s="898"/>
      <c r="D51" s="899"/>
      <c r="E51" s="900"/>
      <c r="F51" s="901"/>
      <c r="G51" s="907" t="s">
        <v>72</v>
      </c>
      <c r="H51" s="907" t="s">
        <v>73</v>
      </c>
      <c r="I51" s="955" t="s">
        <v>114</v>
      </c>
      <c r="J51" s="274">
        <v>1.9430000000000001</v>
      </c>
      <c r="K51" s="11" t="s">
        <v>17</v>
      </c>
      <c r="L51" s="866">
        <v>25812.46056</v>
      </c>
      <c r="M51" s="907"/>
      <c r="N51" s="907"/>
      <c r="O51" s="907"/>
      <c r="P51" s="287"/>
      <c r="Q51" s="11"/>
      <c r="R51" s="866"/>
      <c r="S51" s="12"/>
      <c r="T51" s="560"/>
      <c r="U51" s="560"/>
      <c r="V51" s="579"/>
      <c r="W51" s="560"/>
      <c r="X51" s="613"/>
      <c r="Y51" s="560"/>
      <c r="Z51" s="12"/>
      <c r="AA51" s="560"/>
      <c r="AB51" s="579"/>
      <c r="AC51" s="560"/>
      <c r="AD51" s="560"/>
      <c r="AE51" s="560"/>
      <c r="AF51" s="560"/>
      <c r="AG51" s="560"/>
      <c r="AH51" s="579"/>
      <c r="AI51" s="560"/>
      <c r="AJ51" s="560"/>
      <c r="AK51" s="12"/>
      <c r="AL51" s="560"/>
      <c r="AM51" s="560"/>
      <c r="AN51" s="579"/>
      <c r="AO51" s="560"/>
      <c r="AP51" s="560"/>
      <c r="AQ51" s="631"/>
      <c r="AS51" s="278"/>
      <c r="AT51" s="278"/>
      <c r="AU51" s="278"/>
      <c r="AV51" s="278"/>
      <c r="AW51" s="278"/>
      <c r="AX51" s="278"/>
      <c r="AY51" s="278"/>
    </row>
    <row r="52" spans="1:51" ht="21.75">
      <c r="A52" s="968"/>
      <c r="B52" s="897"/>
      <c r="C52" s="898"/>
      <c r="D52" s="899"/>
      <c r="E52" s="900"/>
      <c r="F52" s="901"/>
      <c r="G52" s="907"/>
      <c r="H52" s="907"/>
      <c r="I52" s="955"/>
      <c r="J52" s="534">
        <v>21211.5</v>
      </c>
      <c r="K52" s="13" t="s">
        <v>32</v>
      </c>
      <c r="L52" s="866"/>
      <c r="M52" s="907"/>
      <c r="N52" s="907"/>
      <c r="O52" s="907"/>
      <c r="P52" s="287"/>
      <c r="Q52" s="13"/>
      <c r="R52" s="866"/>
      <c r="S52" s="12"/>
      <c r="T52" s="560"/>
      <c r="U52" s="560"/>
      <c r="V52" s="579"/>
      <c r="W52" s="560"/>
      <c r="X52" s="613"/>
      <c r="Y52" s="560"/>
      <c r="Z52" s="12"/>
      <c r="AA52" s="560"/>
      <c r="AB52" s="579"/>
      <c r="AC52" s="560"/>
      <c r="AD52" s="560"/>
      <c r="AE52" s="560"/>
      <c r="AF52" s="560"/>
      <c r="AG52" s="560"/>
      <c r="AH52" s="579"/>
      <c r="AI52" s="560"/>
      <c r="AJ52" s="560"/>
      <c r="AK52" s="12"/>
      <c r="AL52" s="560"/>
      <c r="AM52" s="560"/>
      <c r="AN52" s="579"/>
      <c r="AO52" s="560"/>
      <c r="AP52" s="560"/>
      <c r="AQ52" s="631"/>
      <c r="AS52" s="278"/>
      <c r="AT52" s="278"/>
      <c r="AU52" s="278"/>
      <c r="AV52" s="278"/>
      <c r="AW52" s="278"/>
      <c r="AX52" s="278"/>
      <c r="AY52" s="278"/>
    </row>
    <row r="53" spans="1:51" ht="21.75">
      <c r="A53" s="968"/>
      <c r="B53" s="897"/>
      <c r="C53" s="898"/>
      <c r="D53" s="899"/>
      <c r="E53" s="900"/>
      <c r="F53" s="901"/>
      <c r="G53" s="907" t="s">
        <v>74</v>
      </c>
      <c r="H53" s="907" t="s">
        <v>75</v>
      </c>
      <c r="I53" s="955" t="s">
        <v>114</v>
      </c>
      <c r="J53" s="590">
        <f>4.249-1.943</f>
        <v>2.3059999999999996</v>
      </c>
      <c r="K53" s="11" t="s">
        <v>17</v>
      </c>
      <c r="L53" s="866">
        <v>40631.119039999998</v>
      </c>
      <c r="M53" s="509"/>
      <c r="N53" s="509"/>
      <c r="O53" s="509"/>
      <c r="P53" s="287"/>
      <c r="Q53" s="274"/>
      <c r="R53" s="508"/>
      <c r="S53" s="12"/>
      <c r="T53" s="560"/>
      <c r="U53" s="560"/>
      <c r="V53" s="579"/>
      <c r="W53" s="560"/>
      <c r="X53" s="613"/>
      <c r="Y53" s="560"/>
      <c r="Z53" s="12"/>
      <c r="AA53" s="560"/>
      <c r="AB53" s="579"/>
      <c r="AC53" s="591"/>
      <c r="AD53" s="560"/>
      <c r="AE53" s="560"/>
      <c r="AF53" s="560"/>
      <c r="AG53" s="560"/>
      <c r="AH53" s="579"/>
      <c r="AI53" s="560"/>
      <c r="AJ53" s="560"/>
      <c r="AK53" s="12"/>
      <c r="AL53" s="560"/>
      <c r="AM53" s="560"/>
      <c r="AN53" s="579"/>
      <c r="AO53" s="560"/>
      <c r="AP53" s="560"/>
      <c r="AQ53" s="631"/>
      <c r="AS53" s="278"/>
      <c r="AT53" s="278"/>
      <c r="AU53" s="278"/>
      <c r="AV53" s="278"/>
      <c r="AW53" s="278"/>
      <c r="AX53" s="278"/>
      <c r="AY53" s="278"/>
    </row>
    <row r="54" spans="1:51" ht="21.75">
      <c r="A54" s="968"/>
      <c r="B54" s="897"/>
      <c r="C54" s="898"/>
      <c r="D54" s="899"/>
      <c r="E54" s="900"/>
      <c r="F54" s="901"/>
      <c r="G54" s="907"/>
      <c r="H54" s="907"/>
      <c r="I54" s="955"/>
      <c r="J54" s="534">
        <f>J53*F46/E46</f>
        <v>21652.940692640688</v>
      </c>
      <c r="K54" s="13" t="s">
        <v>32</v>
      </c>
      <c r="L54" s="866"/>
      <c r="M54" s="509"/>
      <c r="N54" s="509"/>
      <c r="O54" s="509"/>
      <c r="P54" s="287"/>
      <c r="Q54" s="274"/>
      <c r="R54" s="508"/>
      <c r="S54" s="12"/>
      <c r="T54" s="560"/>
      <c r="U54" s="560"/>
      <c r="V54" s="579"/>
      <c r="W54" s="560"/>
      <c r="X54" s="613"/>
      <c r="Y54" s="560"/>
      <c r="Z54" s="12"/>
      <c r="AA54" s="560"/>
      <c r="AB54" s="579"/>
      <c r="AC54" s="591"/>
      <c r="AD54" s="560"/>
      <c r="AE54" s="560"/>
      <c r="AF54" s="560"/>
      <c r="AG54" s="560"/>
      <c r="AH54" s="579"/>
      <c r="AI54" s="560"/>
      <c r="AJ54" s="560"/>
      <c r="AK54" s="12"/>
      <c r="AL54" s="560"/>
      <c r="AM54" s="560"/>
      <c r="AN54" s="579"/>
      <c r="AO54" s="560"/>
      <c r="AP54" s="560"/>
      <c r="AQ54" s="631"/>
      <c r="AS54" s="278"/>
      <c r="AT54" s="278"/>
      <c r="AU54" s="278"/>
      <c r="AV54" s="278"/>
      <c r="AW54" s="278"/>
      <c r="AX54" s="278"/>
      <c r="AY54" s="278"/>
    </row>
    <row r="55" spans="1:51" ht="21.75">
      <c r="A55" s="968"/>
      <c r="B55" s="897"/>
      <c r="C55" s="898"/>
      <c r="D55" s="899"/>
      <c r="E55" s="900"/>
      <c r="F55" s="901"/>
      <c r="G55" s="509"/>
      <c r="H55" s="509"/>
      <c r="I55" s="20"/>
      <c r="J55" s="534"/>
      <c r="K55" s="13"/>
      <c r="L55" s="508"/>
      <c r="M55" s="509"/>
      <c r="N55" s="592"/>
      <c r="O55" s="18"/>
      <c r="P55" s="287"/>
      <c r="Q55" s="274"/>
      <c r="R55" s="508"/>
      <c r="S55" s="12"/>
      <c r="T55" s="560"/>
      <c r="U55" s="560"/>
      <c r="V55" s="579"/>
      <c r="W55" s="560"/>
      <c r="X55" s="613"/>
      <c r="Y55" s="560"/>
      <c r="Z55" s="12"/>
      <c r="AA55" s="560"/>
      <c r="AB55" s="579"/>
      <c r="AC55" s="591"/>
      <c r="AD55" s="560"/>
      <c r="AE55" s="560"/>
      <c r="AF55" s="560"/>
      <c r="AG55" s="560"/>
      <c r="AH55" s="579"/>
      <c r="AI55" s="560"/>
      <c r="AJ55" s="560"/>
      <c r="AK55" s="12"/>
      <c r="AL55" s="560"/>
      <c r="AM55" s="560"/>
      <c r="AN55" s="579"/>
      <c r="AO55" s="560"/>
      <c r="AP55" s="560"/>
      <c r="AQ55" s="631"/>
      <c r="AS55" s="278"/>
      <c r="AT55" s="278"/>
      <c r="AU55" s="278"/>
      <c r="AV55" s="278"/>
      <c r="AW55" s="278"/>
      <c r="AX55" s="278"/>
      <c r="AY55" s="278"/>
    </row>
    <row r="56" spans="1:51" ht="21.75">
      <c r="A56" s="968"/>
      <c r="B56" s="897"/>
      <c r="C56" s="898"/>
      <c r="D56" s="899"/>
      <c r="E56" s="900"/>
      <c r="F56" s="901"/>
      <c r="G56" s="509"/>
      <c r="H56" s="509"/>
      <c r="I56" s="20"/>
      <c r="J56" s="534"/>
      <c r="K56" s="13"/>
      <c r="L56" s="508"/>
      <c r="M56" s="509"/>
      <c r="N56" s="592"/>
      <c r="O56" s="509"/>
      <c r="P56" s="287"/>
      <c r="Q56" s="274"/>
      <c r="R56" s="508"/>
      <c r="S56" s="12"/>
      <c r="T56" s="560"/>
      <c r="U56" s="560"/>
      <c r="V56" s="579"/>
      <c r="W56" s="560"/>
      <c r="X56" s="613"/>
      <c r="Y56" s="560"/>
      <c r="Z56" s="12"/>
      <c r="AA56" s="560"/>
      <c r="AB56" s="579"/>
      <c r="AC56" s="591"/>
      <c r="AD56" s="560"/>
      <c r="AE56" s="560"/>
      <c r="AF56" s="560"/>
      <c r="AG56" s="560"/>
      <c r="AH56" s="579"/>
      <c r="AI56" s="560"/>
      <c r="AJ56" s="560"/>
      <c r="AK56" s="12"/>
      <c r="AL56" s="560"/>
      <c r="AM56" s="560"/>
      <c r="AN56" s="579"/>
      <c r="AO56" s="560"/>
      <c r="AP56" s="560"/>
      <c r="AQ56" s="631"/>
      <c r="AS56" s="278"/>
      <c r="AT56" s="278"/>
      <c r="AU56" s="278"/>
      <c r="AV56" s="278"/>
      <c r="AW56" s="278"/>
      <c r="AX56" s="278"/>
      <c r="AY56" s="278"/>
    </row>
    <row r="57" spans="1:51">
      <c r="A57" s="968">
        <v>20</v>
      </c>
      <c r="B57" s="897">
        <v>805807</v>
      </c>
      <c r="C57" s="898" t="s">
        <v>76</v>
      </c>
      <c r="D57" s="899" t="s">
        <v>693</v>
      </c>
      <c r="E57" s="900">
        <v>57.3</v>
      </c>
      <c r="F57" s="901">
        <v>412524</v>
      </c>
      <c r="G57" s="907" t="s">
        <v>77</v>
      </c>
      <c r="H57" s="907" t="s">
        <v>78</v>
      </c>
      <c r="I57" s="955" t="s">
        <v>31</v>
      </c>
      <c r="J57" s="274">
        <v>3.073</v>
      </c>
      <c r="K57" s="11" t="s">
        <v>17</v>
      </c>
      <c r="L57" s="866">
        <v>80435.957519999996</v>
      </c>
      <c r="M57" s="907"/>
      <c r="N57" s="907"/>
      <c r="O57" s="907"/>
      <c r="P57" s="287"/>
      <c r="Q57" s="514"/>
      <c r="R57" s="866"/>
      <c r="S57" s="902" t="s">
        <v>79</v>
      </c>
      <c r="T57" s="902" t="s">
        <v>80</v>
      </c>
      <c r="U57" s="955" t="s">
        <v>114</v>
      </c>
      <c r="V57" s="579">
        <v>5</v>
      </c>
      <c r="W57" s="559" t="s">
        <v>17</v>
      </c>
      <c r="X57" s="866">
        <v>72500</v>
      </c>
      <c r="Y57" s="902"/>
      <c r="Z57" s="902"/>
      <c r="AA57" s="902"/>
      <c r="AB57" s="579"/>
      <c r="AC57" s="559"/>
      <c r="AD57" s="907"/>
      <c r="AE57" s="902"/>
      <c r="AF57" s="902"/>
      <c r="AG57" s="902"/>
      <c r="AH57" s="579"/>
      <c r="AI57" s="559"/>
      <c r="AJ57" s="902"/>
      <c r="AK57" s="902"/>
      <c r="AL57" s="903"/>
      <c r="AM57" s="902"/>
      <c r="AN57" s="579"/>
      <c r="AO57" s="559"/>
      <c r="AP57" s="958"/>
      <c r="AQ57" s="631"/>
      <c r="AS57" s="278"/>
      <c r="AT57" s="278"/>
      <c r="AU57" s="278"/>
      <c r="AV57" s="278"/>
      <c r="AW57" s="278"/>
      <c r="AX57" s="278"/>
      <c r="AY57" s="278"/>
    </row>
    <row r="58" spans="1:51">
      <c r="A58" s="968"/>
      <c r="B58" s="897"/>
      <c r="C58" s="898"/>
      <c r="D58" s="899"/>
      <c r="E58" s="900"/>
      <c r="F58" s="901"/>
      <c r="G58" s="907"/>
      <c r="H58" s="907"/>
      <c r="I58" s="955"/>
      <c r="J58" s="534">
        <v>24296</v>
      </c>
      <c r="K58" s="13" t="s">
        <v>32</v>
      </c>
      <c r="L58" s="866"/>
      <c r="M58" s="907"/>
      <c r="N58" s="907"/>
      <c r="O58" s="907"/>
      <c r="P58" s="287"/>
      <c r="Q58" s="583"/>
      <c r="R58" s="866"/>
      <c r="S58" s="902"/>
      <c r="T58" s="902"/>
      <c r="U58" s="955"/>
      <c r="V58" s="579">
        <f>F57/E57*V57</f>
        <v>35996.858638743455</v>
      </c>
      <c r="W58" s="580" t="s">
        <v>32</v>
      </c>
      <c r="X58" s="866"/>
      <c r="Y58" s="902"/>
      <c r="Z58" s="902"/>
      <c r="AA58" s="902"/>
      <c r="AB58" s="579"/>
      <c r="AC58" s="580"/>
      <c r="AD58" s="907"/>
      <c r="AE58" s="902"/>
      <c r="AF58" s="902"/>
      <c r="AG58" s="902"/>
      <c r="AH58" s="579"/>
      <c r="AI58" s="580"/>
      <c r="AJ58" s="902"/>
      <c r="AK58" s="902"/>
      <c r="AL58" s="903"/>
      <c r="AM58" s="902"/>
      <c r="AN58" s="579"/>
      <c r="AO58" s="580"/>
      <c r="AP58" s="958"/>
      <c r="AQ58" s="631"/>
      <c r="AS58" s="278"/>
      <c r="AT58" s="278"/>
      <c r="AU58" s="278"/>
      <c r="AV58" s="278"/>
      <c r="AW58" s="278"/>
      <c r="AX58" s="278"/>
      <c r="AY58" s="278"/>
    </row>
    <row r="59" spans="1:51" ht="39">
      <c r="A59" s="968"/>
      <c r="B59" s="897"/>
      <c r="C59" s="898"/>
      <c r="D59" s="899"/>
      <c r="E59" s="900"/>
      <c r="F59" s="901"/>
      <c r="G59" s="907"/>
      <c r="H59" s="907"/>
      <c r="I59" s="18" t="s">
        <v>2682</v>
      </c>
      <c r="J59" s="534">
        <v>1</v>
      </c>
      <c r="K59" s="507" t="s">
        <v>118</v>
      </c>
      <c r="L59" s="336">
        <v>36.875999999999998</v>
      </c>
      <c r="M59" s="509"/>
      <c r="N59" s="509"/>
      <c r="O59" s="509"/>
      <c r="P59" s="287"/>
      <c r="Q59" s="583"/>
      <c r="R59" s="508"/>
      <c r="S59" s="560"/>
      <c r="T59" s="560"/>
      <c r="U59" s="560"/>
      <c r="V59" s="579"/>
      <c r="W59" s="580"/>
      <c r="X59" s="508"/>
      <c r="Y59" s="560"/>
      <c r="Z59" s="560"/>
      <c r="AA59" s="560"/>
      <c r="AB59" s="579"/>
      <c r="AC59" s="580"/>
      <c r="AD59" s="509"/>
      <c r="AE59" s="560"/>
      <c r="AF59" s="560"/>
      <c r="AG59" s="560"/>
      <c r="AH59" s="579"/>
      <c r="AI59" s="580"/>
      <c r="AJ59" s="560"/>
      <c r="AK59" s="560"/>
      <c r="AL59" s="538"/>
      <c r="AM59" s="560"/>
      <c r="AN59" s="579"/>
      <c r="AO59" s="580"/>
      <c r="AP59" s="596"/>
      <c r="AQ59" s="631"/>
      <c r="AS59" s="278"/>
      <c r="AT59" s="278"/>
      <c r="AU59" s="278"/>
      <c r="AV59" s="278"/>
      <c r="AW59" s="278"/>
      <c r="AX59" s="278"/>
      <c r="AY59" s="278"/>
    </row>
    <row r="60" spans="1:51" ht="39">
      <c r="A60" s="968"/>
      <c r="B60" s="897"/>
      <c r="C60" s="898"/>
      <c r="D60" s="899"/>
      <c r="E60" s="900"/>
      <c r="F60" s="901"/>
      <c r="G60" s="907" t="s">
        <v>77</v>
      </c>
      <c r="H60" s="907" t="s">
        <v>81</v>
      </c>
      <c r="I60" s="18" t="s">
        <v>2682</v>
      </c>
      <c r="J60" s="534">
        <v>1</v>
      </c>
      <c r="K60" s="507" t="s">
        <v>118</v>
      </c>
      <c r="L60" s="336">
        <v>19.26942</v>
      </c>
      <c r="M60" s="21"/>
      <c r="N60" s="11"/>
      <c r="O60" s="593"/>
      <c r="P60" s="21"/>
      <c r="Q60" s="11"/>
      <c r="R60" s="604"/>
      <c r="S60" s="551"/>
      <c r="T60" s="551"/>
      <c r="U60" s="593"/>
      <c r="V60" s="21"/>
      <c r="W60" s="11"/>
      <c r="X60" s="604"/>
      <c r="Y60" s="551"/>
      <c r="Z60" s="551"/>
      <c r="AA60" s="593"/>
      <c r="AB60" s="21"/>
      <c r="AC60" s="11"/>
      <c r="AD60" s="592"/>
      <c r="AE60" s="560"/>
      <c r="AF60" s="560"/>
      <c r="AG60" s="560"/>
      <c r="AH60" s="579"/>
      <c r="AI60" s="580"/>
      <c r="AJ60" s="560"/>
      <c r="AK60" s="560"/>
      <c r="AL60" s="538"/>
      <c r="AM60" s="560"/>
      <c r="AN60" s="579"/>
      <c r="AO60" s="580"/>
      <c r="AP60" s="596"/>
      <c r="AQ60" s="631"/>
      <c r="AS60" s="278"/>
      <c r="AT60" s="278"/>
      <c r="AU60" s="278"/>
      <c r="AV60" s="278"/>
      <c r="AW60" s="278"/>
      <c r="AX60" s="278"/>
      <c r="AY60" s="278"/>
    </row>
    <row r="61" spans="1:51">
      <c r="A61" s="968"/>
      <c r="B61" s="897"/>
      <c r="C61" s="898"/>
      <c r="D61" s="899"/>
      <c r="E61" s="900"/>
      <c r="F61" s="901"/>
      <c r="G61" s="907"/>
      <c r="H61" s="907"/>
      <c r="I61" s="18"/>
      <c r="J61" s="534"/>
      <c r="K61" s="507"/>
      <c r="L61" s="336"/>
      <c r="M61" s="21"/>
      <c r="N61" s="11"/>
      <c r="O61" s="593"/>
      <c r="P61" s="21"/>
      <c r="Q61" s="11"/>
      <c r="R61" s="604"/>
      <c r="S61" s="551"/>
      <c r="T61" s="551"/>
      <c r="U61" s="593"/>
      <c r="V61" s="21"/>
      <c r="W61" s="11"/>
      <c r="X61" s="604"/>
      <c r="Y61" s="551"/>
      <c r="Z61" s="551"/>
      <c r="AA61" s="593"/>
      <c r="AB61" s="21"/>
      <c r="AC61" s="11"/>
      <c r="AD61" s="592"/>
      <c r="AE61" s="560"/>
      <c r="AF61" s="560"/>
      <c r="AG61" s="560"/>
      <c r="AH61" s="579"/>
      <c r="AI61" s="580"/>
      <c r="AJ61" s="560"/>
      <c r="AK61" s="560"/>
      <c r="AL61" s="538"/>
      <c r="AM61" s="560"/>
      <c r="AN61" s="579"/>
      <c r="AO61" s="580"/>
      <c r="AP61" s="596"/>
      <c r="AQ61" s="631"/>
      <c r="AS61" s="278"/>
      <c r="AT61" s="278"/>
      <c r="AU61" s="278"/>
      <c r="AV61" s="278"/>
      <c r="AW61" s="278"/>
      <c r="AX61" s="278"/>
      <c r="AY61" s="278"/>
    </row>
    <row r="62" spans="1:51" ht="21.75">
      <c r="A62" s="968">
        <v>21</v>
      </c>
      <c r="B62" s="897">
        <v>805463</v>
      </c>
      <c r="C62" s="898" t="s">
        <v>82</v>
      </c>
      <c r="D62" s="899" t="s">
        <v>875</v>
      </c>
      <c r="E62" s="900">
        <v>3.13</v>
      </c>
      <c r="F62" s="901">
        <v>37596</v>
      </c>
      <c r="G62" s="509"/>
      <c r="H62" s="509"/>
      <c r="I62" s="18"/>
      <c r="J62" s="534"/>
      <c r="K62" s="274"/>
      <c r="L62" s="508"/>
      <c r="M62" s="509"/>
      <c r="N62" s="509"/>
      <c r="O62" s="509"/>
      <c r="P62" s="287"/>
      <c r="Q62" s="274"/>
      <c r="R62" s="508"/>
      <c r="S62" s="12"/>
      <c r="T62" s="560"/>
      <c r="U62" s="560"/>
      <c r="V62" s="579"/>
      <c r="W62" s="560"/>
      <c r="X62" s="613"/>
      <c r="Y62" s="560"/>
      <c r="Z62" s="12"/>
      <c r="AA62" s="560"/>
      <c r="AB62" s="579"/>
      <c r="AC62" s="560"/>
      <c r="AD62" s="560"/>
      <c r="AE62" s="560"/>
      <c r="AF62" s="560"/>
      <c r="AG62" s="902" t="s">
        <v>31</v>
      </c>
      <c r="AH62" s="579">
        <v>2.5</v>
      </c>
      <c r="AI62" s="559" t="s">
        <v>17</v>
      </c>
      <c r="AJ62" s="903">
        <v>150000</v>
      </c>
      <c r="AK62" s="12"/>
      <c r="AL62" s="560"/>
      <c r="AM62" s="560"/>
      <c r="AN62" s="579"/>
      <c r="AO62" s="560"/>
      <c r="AP62" s="617"/>
      <c r="AQ62" s="631"/>
      <c r="AS62" s="278"/>
      <c r="AT62" s="278"/>
      <c r="AU62" s="278"/>
      <c r="AV62" s="278"/>
      <c r="AW62" s="278"/>
      <c r="AX62" s="278"/>
      <c r="AY62" s="278"/>
    </row>
    <row r="63" spans="1:51" ht="21.75">
      <c r="A63" s="968"/>
      <c r="B63" s="897"/>
      <c r="C63" s="898"/>
      <c r="D63" s="899"/>
      <c r="E63" s="900"/>
      <c r="F63" s="901"/>
      <c r="G63" s="509"/>
      <c r="H63" s="509"/>
      <c r="I63" s="18"/>
      <c r="J63" s="534"/>
      <c r="K63" s="274"/>
      <c r="L63" s="508"/>
      <c r="M63" s="509"/>
      <c r="N63" s="509"/>
      <c r="O63" s="509"/>
      <c r="P63" s="287"/>
      <c r="Q63" s="274"/>
      <c r="R63" s="508"/>
      <c r="S63" s="12"/>
      <c r="T63" s="560"/>
      <c r="U63" s="560"/>
      <c r="V63" s="579"/>
      <c r="W63" s="560"/>
      <c r="X63" s="613"/>
      <c r="Y63" s="560"/>
      <c r="Z63" s="12"/>
      <c r="AA63" s="560"/>
      <c r="AB63" s="579"/>
      <c r="AC63" s="560"/>
      <c r="AD63" s="560"/>
      <c r="AE63" s="560"/>
      <c r="AF63" s="560"/>
      <c r="AG63" s="902"/>
      <c r="AH63" s="579">
        <f>F62/E62*AH62</f>
        <v>30028.753993610226</v>
      </c>
      <c r="AI63" s="580" t="s">
        <v>32</v>
      </c>
      <c r="AJ63" s="903"/>
      <c r="AK63" s="12"/>
      <c r="AL63" s="560"/>
      <c r="AM63" s="560"/>
      <c r="AN63" s="579"/>
      <c r="AO63" s="560"/>
      <c r="AP63" s="617"/>
      <c r="AQ63" s="631"/>
      <c r="AS63" s="278"/>
      <c r="AT63" s="278"/>
      <c r="AU63" s="278"/>
      <c r="AV63" s="278"/>
      <c r="AW63" s="278"/>
      <c r="AX63" s="278"/>
      <c r="AY63" s="278"/>
    </row>
    <row r="64" spans="1:51" ht="21.75">
      <c r="A64" s="968">
        <v>22</v>
      </c>
      <c r="B64" s="897" t="s">
        <v>83</v>
      </c>
      <c r="C64" s="898" t="s">
        <v>84</v>
      </c>
      <c r="D64" s="899" t="s">
        <v>693</v>
      </c>
      <c r="E64" s="900">
        <v>60.73</v>
      </c>
      <c r="F64" s="901">
        <v>485600</v>
      </c>
      <c r="G64" s="907" t="s">
        <v>75</v>
      </c>
      <c r="H64" s="907" t="s">
        <v>85</v>
      </c>
      <c r="I64" s="955" t="s">
        <v>114</v>
      </c>
      <c r="J64" s="274">
        <v>4.4400000000000004</v>
      </c>
      <c r="K64" s="11" t="s">
        <v>17</v>
      </c>
      <c r="L64" s="962">
        <v>61656.000010000003</v>
      </c>
      <c r="M64" s="509"/>
      <c r="N64" s="509"/>
      <c r="O64" s="907"/>
      <c r="P64" s="287"/>
      <c r="Q64" s="514"/>
      <c r="R64" s="866"/>
      <c r="S64" s="971"/>
      <c r="T64" s="971"/>
      <c r="U64" s="594"/>
      <c r="V64" s="595"/>
      <c r="W64" s="596"/>
      <c r="X64" s="618"/>
      <c r="Y64" s="560"/>
      <c r="Z64" s="12"/>
      <c r="AA64" s="560"/>
      <c r="AB64" s="579"/>
      <c r="AC64" s="560"/>
      <c r="AD64" s="560"/>
      <c r="AE64" s="560"/>
      <c r="AF64" s="560"/>
      <c r="AG64" s="560"/>
      <c r="AH64" s="579"/>
      <c r="AI64" s="560"/>
      <c r="AJ64" s="560"/>
      <c r="AK64" s="12"/>
      <c r="AL64" s="560"/>
      <c r="AM64" s="560"/>
      <c r="AN64" s="579"/>
      <c r="AO64" s="560"/>
      <c r="AP64" s="617"/>
      <c r="AQ64" s="631"/>
      <c r="AS64" s="278"/>
      <c r="AT64" s="278"/>
      <c r="AU64" s="278"/>
      <c r="AV64" s="278"/>
      <c r="AW64" s="278"/>
      <c r="AX64" s="278"/>
      <c r="AY64" s="278"/>
    </row>
    <row r="65" spans="1:51" ht="21.75">
      <c r="A65" s="968"/>
      <c r="B65" s="897"/>
      <c r="C65" s="898"/>
      <c r="D65" s="899"/>
      <c r="E65" s="900"/>
      <c r="F65" s="901"/>
      <c r="G65" s="907"/>
      <c r="H65" s="907"/>
      <c r="I65" s="955"/>
      <c r="J65" s="534">
        <f>J64*F64/E64</f>
        <v>35502.453482628029</v>
      </c>
      <c r="K65" s="13" t="s">
        <v>32</v>
      </c>
      <c r="L65" s="963"/>
      <c r="M65" s="509"/>
      <c r="N65" s="509"/>
      <c r="O65" s="907"/>
      <c r="P65" s="287"/>
      <c r="Q65" s="583"/>
      <c r="R65" s="866"/>
      <c r="S65" s="12"/>
      <c r="T65" s="560"/>
      <c r="U65" s="560"/>
      <c r="V65" s="579"/>
      <c r="W65" s="560"/>
      <c r="X65" s="613"/>
      <c r="Y65" s="560"/>
      <c r="Z65" s="12"/>
      <c r="AA65" s="560"/>
      <c r="AB65" s="579"/>
      <c r="AC65" s="560"/>
      <c r="AD65" s="560"/>
      <c r="AE65" s="560"/>
      <c r="AF65" s="560"/>
      <c r="AG65" s="560"/>
      <c r="AH65" s="579"/>
      <c r="AI65" s="560"/>
      <c r="AJ65" s="560"/>
      <c r="AK65" s="12"/>
      <c r="AL65" s="560"/>
      <c r="AM65" s="560"/>
      <c r="AN65" s="579"/>
      <c r="AO65" s="560"/>
      <c r="AP65" s="617"/>
      <c r="AQ65" s="631"/>
      <c r="AS65" s="278"/>
      <c r="AT65" s="278"/>
      <c r="AU65" s="278"/>
      <c r="AV65" s="278"/>
      <c r="AW65" s="278"/>
      <c r="AX65" s="278"/>
      <c r="AY65" s="278"/>
    </row>
    <row r="66" spans="1:51" ht="21.75">
      <c r="A66" s="968"/>
      <c r="B66" s="897"/>
      <c r="C66" s="898"/>
      <c r="D66" s="899"/>
      <c r="E66" s="900"/>
      <c r="F66" s="901"/>
      <c r="G66" s="907" t="s">
        <v>86</v>
      </c>
      <c r="H66" s="907" t="s">
        <v>87</v>
      </c>
      <c r="I66" s="955" t="s">
        <v>114</v>
      </c>
      <c r="J66" s="274">
        <v>0.44540000000000002</v>
      </c>
      <c r="K66" s="11" t="s">
        <v>17</v>
      </c>
      <c r="L66" s="866">
        <v>6029.78</v>
      </c>
      <c r="M66" s="509"/>
      <c r="N66" s="509"/>
      <c r="O66" s="509"/>
      <c r="P66" s="287"/>
      <c r="Q66" s="274"/>
      <c r="R66" s="508"/>
      <c r="S66" s="12"/>
      <c r="T66" s="560"/>
      <c r="U66" s="560"/>
      <c r="V66" s="579"/>
      <c r="W66" s="560"/>
      <c r="X66" s="613"/>
      <c r="Y66" s="560"/>
      <c r="Z66" s="12"/>
      <c r="AA66" s="560"/>
      <c r="AB66" s="579"/>
      <c r="AC66" s="560"/>
      <c r="AD66" s="560"/>
      <c r="AE66" s="560"/>
      <c r="AF66" s="560"/>
      <c r="AG66" s="560"/>
      <c r="AH66" s="579"/>
      <c r="AI66" s="560"/>
      <c r="AJ66" s="560"/>
      <c r="AK66" s="12"/>
      <c r="AL66" s="560"/>
      <c r="AM66" s="560"/>
      <c r="AN66" s="579"/>
      <c r="AO66" s="560"/>
      <c r="AP66" s="617"/>
      <c r="AQ66" s="631"/>
      <c r="AS66" s="278"/>
      <c r="AT66" s="278"/>
      <c r="AU66" s="278"/>
      <c r="AV66" s="278"/>
      <c r="AW66" s="278"/>
      <c r="AX66" s="278"/>
      <c r="AY66" s="278"/>
    </row>
    <row r="67" spans="1:51" ht="21.75">
      <c r="A67" s="968"/>
      <c r="B67" s="897"/>
      <c r="C67" s="898"/>
      <c r="D67" s="899"/>
      <c r="E67" s="900"/>
      <c r="F67" s="901"/>
      <c r="G67" s="907"/>
      <c r="H67" s="907"/>
      <c r="I67" s="955"/>
      <c r="J67" s="534">
        <f>J66*F64/E64</f>
        <v>3561.4398155771451</v>
      </c>
      <c r="K67" s="13" t="s">
        <v>32</v>
      </c>
      <c r="L67" s="866"/>
      <c r="M67" s="509"/>
      <c r="N67" s="509"/>
      <c r="O67" s="509"/>
      <c r="P67" s="287"/>
      <c r="Q67" s="274"/>
      <c r="R67" s="508"/>
      <c r="S67" s="12"/>
      <c r="T67" s="560"/>
      <c r="U67" s="560"/>
      <c r="V67" s="579"/>
      <c r="W67" s="560"/>
      <c r="X67" s="613"/>
      <c r="Y67" s="560"/>
      <c r="Z67" s="12"/>
      <c r="AA67" s="560"/>
      <c r="AB67" s="579"/>
      <c r="AC67" s="560"/>
      <c r="AD67" s="560"/>
      <c r="AE67" s="560"/>
      <c r="AF67" s="560"/>
      <c r="AG67" s="560"/>
      <c r="AH67" s="579"/>
      <c r="AI67" s="560"/>
      <c r="AJ67" s="560"/>
      <c r="AK67" s="12"/>
      <c r="AL67" s="560"/>
      <c r="AM67" s="560"/>
      <c r="AN67" s="579"/>
      <c r="AO67" s="560"/>
      <c r="AP67" s="617"/>
      <c r="AQ67" s="631"/>
      <c r="AS67" s="278"/>
      <c r="AT67" s="278"/>
      <c r="AU67" s="278"/>
      <c r="AV67" s="278"/>
      <c r="AW67" s="278"/>
      <c r="AX67" s="278"/>
      <c r="AY67" s="278"/>
    </row>
    <row r="68" spans="1:51" ht="21.75">
      <c r="A68" s="968"/>
      <c r="B68" s="897"/>
      <c r="C68" s="898"/>
      <c r="D68" s="899"/>
      <c r="E68" s="900"/>
      <c r="F68" s="901"/>
      <c r="G68" s="886" t="s">
        <v>88</v>
      </c>
      <c r="H68" s="886" t="s">
        <v>89</v>
      </c>
      <c r="I68" s="955" t="s">
        <v>114</v>
      </c>
      <c r="J68" s="597">
        <v>2.2519999999999998</v>
      </c>
      <c r="K68" s="11" t="s">
        <v>17</v>
      </c>
      <c r="L68" s="962">
        <f>1919.384389+36253.78362</f>
        <v>38173.168009000001</v>
      </c>
      <c r="M68" s="20"/>
      <c r="N68" s="20"/>
      <c r="O68" s="20"/>
      <c r="P68" s="24"/>
      <c r="Q68" s="598"/>
      <c r="R68" s="602"/>
      <c r="S68" s="12"/>
      <c r="T68" s="538"/>
      <c r="U68" s="538"/>
      <c r="V68" s="25"/>
      <c r="W68" s="538"/>
      <c r="X68" s="619"/>
      <c r="Y68" s="560"/>
      <c r="Z68" s="12"/>
      <c r="AA68" s="538"/>
      <c r="AB68" s="25"/>
      <c r="AC68" s="538"/>
      <c r="AD68" s="538"/>
      <c r="AE68" s="551"/>
      <c r="AF68" s="551"/>
      <c r="AG68" s="23"/>
      <c r="AH68" s="579"/>
      <c r="AI68" s="559"/>
      <c r="AJ68" s="23"/>
      <c r="AK68" s="538"/>
      <c r="AL68" s="538"/>
      <c r="AM68" s="538"/>
      <c r="AN68" s="25"/>
      <c r="AO68" s="538"/>
      <c r="AP68" s="617"/>
      <c r="AQ68" s="631"/>
      <c r="AS68" s="278"/>
      <c r="AT68" s="278"/>
      <c r="AU68" s="278"/>
      <c r="AV68" s="278"/>
      <c r="AW68" s="278"/>
      <c r="AX68" s="278"/>
      <c r="AY68" s="278"/>
    </row>
    <row r="69" spans="1:51" ht="21.75">
      <c r="A69" s="968"/>
      <c r="B69" s="897"/>
      <c r="C69" s="898"/>
      <c r="D69" s="899"/>
      <c r="E69" s="900"/>
      <c r="F69" s="901"/>
      <c r="G69" s="886"/>
      <c r="H69" s="886"/>
      <c r="I69" s="955"/>
      <c r="J69" s="599">
        <f>J68*F64/E64</f>
        <v>18007.100279927548</v>
      </c>
      <c r="K69" s="13" t="s">
        <v>32</v>
      </c>
      <c r="L69" s="963"/>
      <c r="M69" s="20"/>
      <c r="N69" s="20"/>
      <c r="O69" s="20"/>
      <c r="P69" s="24"/>
      <c r="Q69" s="598"/>
      <c r="R69" s="602"/>
      <c r="S69" s="12"/>
      <c r="T69" s="538"/>
      <c r="U69" s="538"/>
      <c r="V69" s="25"/>
      <c r="W69" s="538"/>
      <c r="X69" s="619"/>
      <c r="Y69" s="560"/>
      <c r="Z69" s="12"/>
      <c r="AA69" s="538"/>
      <c r="AB69" s="25"/>
      <c r="AC69" s="538"/>
      <c r="AD69" s="538"/>
      <c r="AE69" s="551"/>
      <c r="AF69" s="551"/>
      <c r="AG69" s="23"/>
      <c r="AH69" s="579"/>
      <c r="AI69" s="580"/>
      <c r="AJ69" s="23"/>
      <c r="AK69" s="538"/>
      <c r="AL69" s="538"/>
      <c r="AM69" s="538"/>
      <c r="AN69" s="25"/>
      <c r="AO69" s="538"/>
      <c r="AP69" s="617"/>
      <c r="AQ69" s="631"/>
      <c r="AS69" s="278"/>
      <c r="AT69" s="278"/>
      <c r="AU69" s="278"/>
      <c r="AV69" s="278"/>
      <c r="AW69" s="278"/>
      <c r="AX69" s="278"/>
      <c r="AY69" s="278"/>
    </row>
    <row r="70" spans="1:51" ht="21.75">
      <c r="A70" s="968"/>
      <c r="B70" s="897"/>
      <c r="C70" s="898"/>
      <c r="D70" s="899"/>
      <c r="E70" s="900"/>
      <c r="F70" s="901"/>
      <c r="G70" s="886" t="s">
        <v>90</v>
      </c>
      <c r="H70" s="886" t="s">
        <v>91</v>
      </c>
      <c r="I70" s="886" t="s">
        <v>31</v>
      </c>
      <c r="J70" s="597">
        <v>8.4960000000000004</v>
      </c>
      <c r="K70" s="11" t="s">
        <v>17</v>
      </c>
      <c r="L70" s="959">
        <f>187438.73208-2209.12567</f>
        <v>185229.60640999998</v>
      </c>
      <c r="M70" s="20"/>
      <c r="N70" s="20"/>
      <c r="O70" s="20"/>
      <c r="P70" s="24"/>
      <c r="Q70" s="598"/>
      <c r="R70" s="602"/>
      <c r="S70" s="12"/>
      <c r="T70" s="538"/>
      <c r="U70" s="538"/>
      <c r="V70" s="25"/>
      <c r="W70" s="538"/>
      <c r="X70" s="619"/>
      <c r="Y70" s="560"/>
      <c r="Z70" s="12"/>
      <c r="AA70" s="538"/>
      <c r="AB70" s="25"/>
      <c r="AC70" s="538"/>
      <c r="AD70" s="538"/>
      <c r="AE70" s="538"/>
      <c r="AF70" s="538"/>
      <c r="AG70" s="538"/>
      <c r="AH70" s="25"/>
      <c r="AI70" s="538"/>
      <c r="AJ70" s="538"/>
      <c r="AK70" s="538"/>
      <c r="AL70" s="538"/>
      <c r="AM70" s="538"/>
      <c r="AN70" s="25"/>
      <c r="AO70" s="538"/>
      <c r="AP70" s="617"/>
      <c r="AQ70" s="631"/>
      <c r="AS70" s="278"/>
      <c r="AT70" s="278"/>
      <c r="AU70" s="278"/>
      <c r="AV70" s="278"/>
      <c r="AW70" s="278"/>
      <c r="AX70" s="278"/>
      <c r="AY70" s="278"/>
    </row>
    <row r="71" spans="1:51" ht="21.75">
      <c r="A71" s="968"/>
      <c r="B71" s="897"/>
      <c r="C71" s="898"/>
      <c r="D71" s="899"/>
      <c r="E71" s="900"/>
      <c r="F71" s="901"/>
      <c r="G71" s="886"/>
      <c r="H71" s="886"/>
      <c r="I71" s="886"/>
      <c r="J71" s="599">
        <f>J70*F64/E64</f>
        <v>67934.424501893634</v>
      </c>
      <c r="K71" s="13" t="s">
        <v>32</v>
      </c>
      <c r="L71" s="959"/>
      <c r="M71" s="20"/>
      <c r="N71" s="20"/>
      <c r="O71" s="20"/>
      <c r="P71" s="24"/>
      <c r="Q71" s="598"/>
      <c r="R71" s="602"/>
      <c r="S71" s="12"/>
      <c r="T71" s="538"/>
      <c r="U71" s="538"/>
      <c r="V71" s="25"/>
      <c r="W71" s="538"/>
      <c r="X71" s="619"/>
      <c r="Y71" s="560"/>
      <c r="Z71" s="12"/>
      <c r="AA71" s="538"/>
      <c r="AB71" s="25"/>
      <c r="AC71" s="538"/>
      <c r="AD71" s="538"/>
      <c r="AE71" s="538"/>
      <c r="AF71" s="538"/>
      <c r="AG71" s="538"/>
      <c r="AH71" s="25"/>
      <c r="AI71" s="538"/>
      <c r="AJ71" s="538"/>
      <c r="AK71" s="538"/>
      <c r="AL71" s="538"/>
      <c r="AM71" s="538"/>
      <c r="AN71" s="25"/>
      <c r="AO71" s="538"/>
      <c r="AP71" s="617"/>
      <c r="AQ71" s="631"/>
      <c r="AS71" s="278"/>
      <c r="AT71" s="278"/>
      <c r="AU71" s="278"/>
      <c r="AV71" s="278"/>
      <c r="AW71" s="278"/>
      <c r="AX71" s="278"/>
      <c r="AY71" s="278"/>
    </row>
    <row r="72" spans="1:51" ht="39">
      <c r="A72" s="968"/>
      <c r="B72" s="897"/>
      <c r="C72" s="898"/>
      <c r="D72" s="899"/>
      <c r="E72" s="900"/>
      <c r="F72" s="901"/>
      <c r="G72" s="886"/>
      <c r="H72" s="886"/>
      <c r="I72" s="620" t="s">
        <v>2682</v>
      </c>
      <c r="J72" s="534">
        <v>1</v>
      </c>
      <c r="K72" s="507" t="s">
        <v>118</v>
      </c>
      <c r="L72" s="336">
        <v>101.95699999999999</v>
      </c>
      <c r="M72" s="20"/>
      <c r="N72" s="20"/>
      <c r="O72" s="20"/>
      <c r="P72" s="24"/>
      <c r="Q72" s="598"/>
      <c r="R72" s="602"/>
      <c r="S72" s="12"/>
      <c r="T72" s="538"/>
      <c r="U72" s="538"/>
      <c r="V72" s="25"/>
      <c r="W72" s="538"/>
      <c r="X72" s="619"/>
      <c r="Y72" s="560"/>
      <c r="Z72" s="12"/>
      <c r="AA72" s="538"/>
      <c r="AB72" s="25"/>
      <c r="AC72" s="538"/>
      <c r="AD72" s="538"/>
      <c r="AE72" s="538"/>
      <c r="AF72" s="538"/>
      <c r="AG72" s="538"/>
      <c r="AH72" s="25"/>
      <c r="AI72" s="538"/>
      <c r="AJ72" s="538"/>
      <c r="AK72" s="538"/>
      <c r="AL72" s="538"/>
      <c r="AM72" s="538"/>
      <c r="AN72" s="25"/>
      <c r="AO72" s="538"/>
      <c r="AP72" s="617"/>
      <c r="AQ72" s="631"/>
      <c r="AS72" s="278"/>
      <c r="AT72" s="278"/>
      <c r="AU72" s="278"/>
      <c r="AV72" s="278"/>
      <c r="AW72" s="278"/>
      <c r="AX72" s="278"/>
      <c r="AY72" s="278"/>
    </row>
    <row r="73" spans="1:51" ht="58.5">
      <c r="A73" s="968"/>
      <c r="B73" s="897"/>
      <c r="C73" s="898"/>
      <c r="D73" s="899"/>
      <c r="E73" s="900"/>
      <c r="F73" s="901"/>
      <c r="G73" s="20" t="s">
        <v>3262</v>
      </c>
      <c r="H73" s="20" t="s">
        <v>92</v>
      </c>
      <c r="I73" s="20" t="s">
        <v>93</v>
      </c>
      <c r="J73" s="534">
        <v>1</v>
      </c>
      <c r="K73" s="507" t="s">
        <v>118</v>
      </c>
      <c r="L73" s="336">
        <v>113.821</v>
      </c>
      <c r="M73" s="20"/>
      <c r="N73" s="20"/>
      <c r="O73" s="20"/>
      <c r="P73" s="24"/>
      <c r="Q73" s="598"/>
      <c r="R73" s="602"/>
      <c r="S73" s="12"/>
      <c r="T73" s="538"/>
      <c r="U73" s="538"/>
      <c r="V73" s="25"/>
      <c r="W73" s="538"/>
      <c r="X73" s="619"/>
      <c r="Y73" s="560"/>
      <c r="Z73" s="12"/>
      <c r="AA73" s="538"/>
      <c r="AB73" s="25"/>
      <c r="AC73" s="538"/>
      <c r="AD73" s="538"/>
      <c r="AE73" s="538"/>
      <c r="AF73" s="538"/>
      <c r="AG73" s="538"/>
      <c r="AH73" s="25"/>
      <c r="AI73" s="538"/>
      <c r="AJ73" s="538"/>
      <c r="AK73" s="538"/>
      <c r="AL73" s="538"/>
      <c r="AM73" s="538"/>
      <c r="AN73" s="25"/>
      <c r="AO73" s="538"/>
      <c r="AP73" s="617"/>
      <c r="AQ73" s="631"/>
      <c r="AS73" s="278"/>
      <c r="AT73" s="278"/>
      <c r="AU73" s="278"/>
      <c r="AV73" s="278"/>
      <c r="AW73" s="278"/>
      <c r="AX73" s="278"/>
      <c r="AY73" s="278"/>
    </row>
    <row r="74" spans="1:51" ht="37.5" customHeight="1">
      <c r="A74" s="969">
        <v>23</v>
      </c>
      <c r="B74" s="964">
        <v>805856</v>
      </c>
      <c r="C74" s="965" t="s">
        <v>94</v>
      </c>
      <c r="D74" s="966" t="s">
        <v>876</v>
      </c>
      <c r="E74" s="873">
        <v>0.99</v>
      </c>
      <c r="F74" s="966">
        <v>6930</v>
      </c>
      <c r="G74" s="24"/>
      <c r="H74" s="24"/>
      <c r="I74" s="24"/>
      <c r="J74" s="599"/>
      <c r="K74" s="600"/>
      <c r="L74" s="279"/>
      <c r="M74" s="24"/>
      <c r="N74" s="24"/>
      <c r="O74" s="24"/>
      <c r="P74" s="24"/>
      <c r="Q74" s="601"/>
      <c r="R74" s="602"/>
      <c r="S74" s="584"/>
      <c r="T74" s="25"/>
      <c r="U74" s="25"/>
      <c r="V74" s="25"/>
      <c r="W74" s="25"/>
      <c r="X74" s="619"/>
      <c r="Y74" s="579"/>
      <c r="Z74" s="584"/>
      <c r="AA74" s="25"/>
      <c r="AB74" s="25"/>
      <c r="AC74" s="25"/>
      <c r="AD74" s="538"/>
      <c r="AE74" s="25"/>
      <c r="AF74" s="25"/>
      <c r="AG74" s="25"/>
      <c r="AH74" s="25"/>
      <c r="AI74" s="25"/>
      <c r="AJ74" s="538"/>
      <c r="AK74" s="902" t="s">
        <v>60</v>
      </c>
      <c r="AL74" s="903" t="s">
        <v>95</v>
      </c>
      <c r="AM74" s="560" t="s">
        <v>31</v>
      </c>
      <c r="AN74" s="579">
        <v>0.99</v>
      </c>
      <c r="AO74" s="559" t="s">
        <v>17</v>
      </c>
      <c r="AP74" s="960">
        <v>60000</v>
      </c>
      <c r="AQ74" s="631"/>
      <c r="AS74" s="278"/>
      <c r="AT74" s="278"/>
      <c r="AU74" s="278"/>
      <c r="AV74" s="278"/>
      <c r="AW74" s="278"/>
      <c r="AX74" s="278"/>
      <c r="AY74" s="278"/>
    </row>
    <row r="75" spans="1:51" ht="37.5" customHeight="1">
      <c r="A75" s="969"/>
      <c r="B75" s="964"/>
      <c r="C75" s="965"/>
      <c r="D75" s="966"/>
      <c r="E75" s="873"/>
      <c r="F75" s="966"/>
      <c r="G75" s="24"/>
      <c r="H75" s="24"/>
      <c r="I75" s="24"/>
      <c r="J75" s="599"/>
      <c r="K75" s="600"/>
      <c r="L75" s="279"/>
      <c r="M75" s="24"/>
      <c r="N75" s="24"/>
      <c r="O75" s="24"/>
      <c r="P75" s="24"/>
      <c r="Q75" s="601"/>
      <c r="R75" s="602"/>
      <c r="S75" s="584"/>
      <c r="T75" s="25"/>
      <c r="U75" s="25"/>
      <c r="V75" s="25"/>
      <c r="W75" s="25"/>
      <c r="X75" s="619"/>
      <c r="Y75" s="579"/>
      <c r="Z75" s="584"/>
      <c r="AA75" s="25"/>
      <c r="AB75" s="25"/>
      <c r="AC75" s="25"/>
      <c r="AD75" s="538"/>
      <c r="AE75" s="25"/>
      <c r="AF75" s="25"/>
      <c r="AG75" s="25"/>
      <c r="AH75" s="25"/>
      <c r="AI75" s="25"/>
      <c r="AJ75" s="538"/>
      <c r="AK75" s="902"/>
      <c r="AL75" s="903"/>
      <c r="AM75" s="560"/>
      <c r="AN75" s="579">
        <f>F74/E74*AN74</f>
        <v>6930</v>
      </c>
      <c r="AO75" s="580" t="s">
        <v>32</v>
      </c>
      <c r="AP75" s="960"/>
      <c r="AQ75" s="631"/>
      <c r="AS75" s="278"/>
      <c r="AT75" s="278"/>
      <c r="AU75" s="278"/>
      <c r="AV75" s="278"/>
      <c r="AW75" s="278"/>
      <c r="AX75" s="278"/>
      <c r="AY75" s="278"/>
    </row>
    <row r="76" spans="1:51" ht="37.5" customHeight="1">
      <c r="A76" s="970">
        <v>24</v>
      </c>
      <c r="B76" s="870">
        <v>805868</v>
      </c>
      <c r="C76" s="891" t="s">
        <v>96</v>
      </c>
      <c r="D76" s="892" t="s">
        <v>877</v>
      </c>
      <c r="E76" s="892">
        <v>11.8</v>
      </c>
      <c r="F76" s="873">
        <f>E76*6600</f>
        <v>77880</v>
      </c>
      <c r="G76" s="961"/>
      <c r="H76" s="24"/>
      <c r="I76" s="24"/>
      <c r="J76" s="599"/>
      <c r="K76" s="600"/>
      <c r="L76" s="279"/>
      <c r="M76" s="24"/>
      <c r="N76" s="24"/>
      <c r="O76" s="24"/>
      <c r="P76" s="24"/>
      <c r="Q76" s="601"/>
      <c r="R76" s="602"/>
      <c r="S76" s="584"/>
      <c r="T76" s="25"/>
      <c r="U76" s="25"/>
      <c r="V76" s="25"/>
      <c r="W76" s="25"/>
      <c r="X76" s="619"/>
      <c r="Y76" s="579"/>
      <c r="Z76" s="584"/>
      <c r="AA76" s="25"/>
      <c r="AB76" s="25"/>
      <c r="AC76" s="25"/>
      <c r="AD76" s="538"/>
      <c r="AE76" s="25"/>
      <c r="AF76" s="25"/>
      <c r="AG76" s="902" t="s">
        <v>31</v>
      </c>
      <c r="AH76" s="579">
        <v>2.13</v>
      </c>
      <c r="AI76" s="559" t="s">
        <v>17</v>
      </c>
      <c r="AJ76" s="903">
        <v>127175</v>
      </c>
      <c r="AK76" s="902"/>
      <c r="AL76" s="903"/>
      <c r="AM76" s="902"/>
      <c r="AN76" s="579"/>
      <c r="AO76" s="559"/>
      <c r="AP76" s="960"/>
      <c r="AQ76" s="631"/>
      <c r="AS76" s="278"/>
      <c r="AT76" s="278"/>
      <c r="AU76" s="278"/>
      <c r="AV76" s="278"/>
      <c r="AW76" s="278"/>
      <c r="AX76" s="278"/>
      <c r="AY76" s="278"/>
    </row>
    <row r="77" spans="1:51" ht="37.5" customHeight="1">
      <c r="A77" s="970"/>
      <c r="B77" s="870"/>
      <c r="C77" s="891"/>
      <c r="D77" s="892"/>
      <c r="E77" s="892"/>
      <c r="F77" s="873"/>
      <c r="G77" s="961"/>
      <c r="H77" s="24"/>
      <c r="I77" s="24"/>
      <c r="J77" s="599"/>
      <c r="K77" s="600"/>
      <c r="L77" s="279"/>
      <c r="M77" s="24"/>
      <c r="N77" s="24"/>
      <c r="O77" s="24"/>
      <c r="P77" s="24"/>
      <c r="Q77" s="601"/>
      <c r="R77" s="602"/>
      <c r="S77" s="584"/>
      <c r="T77" s="25"/>
      <c r="U77" s="25"/>
      <c r="V77" s="25"/>
      <c r="W77" s="25"/>
      <c r="X77" s="619"/>
      <c r="Y77" s="579"/>
      <c r="Z77" s="584"/>
      <c r="AA77" s="25"/>
      <c r="AB77" s="25"/>
      <c r="AC77" s="25"/>
      <c r="AD77" s="538"/>
      <c r="AE77" s="25"/>
      <c r="AF77" s="25"/>
      <c r="AG77" s="902"/>
      <c r="AH77" s="579">
        <f>F76/E76*AH76</f>
        <v>14058</v>
      </c>
      <c r="AI77" s="580" t="s">
        <v>32</v>
      </c>
      <c r="AJ77" s="903"/>
      <c r="AK77" s="902"/>
      <c r="AL77" s="903"/>
      <c r="AM77" s="902"/>
      <c r="AN77" s="579"/>
      <c r="AO77" s="580"/>
      <c r="AP77" s="960"/>
      <c r="AQ77" s="631"/>
      <c r="AS77" s="278"/>
      <c r="AT77" s="278"/>
      <c r="AU77" s="278"/>
      <c r="AV77" s="278"/>
      <c r="AW77" s="278"/>
      <c r="AX77" s="278"/>
      <c r="AY77" s="278"/>
    </row>
    <row r="78" spans="1:51" ht="37.5" customHeight="1">
      <c r="A78" s="970">
        <v>25</v>
      </c>
      <c r="B78" s="870">
        <v>805680</v>
      </c>
      <c r="C78" s="891" t="s">
        <v>97</v>
      </c>
      <c r="D78" s="873" t="s">
        <v>878</v>
      </c>
      <c r="E78" s="873">
        <v>2.57</v>
      </c>
      <c r="F78" s="874">
        <v>15420</v>
      </c>
      <c r="G78" s="24"/>
      <c r="H78" s="24"/>
      <c r="I78" s="24"/>
      <c r="J78" s="599"/>
      <c r="K78" s="600"/>
      <c r="L78" s="279"/>
      <c r="M78" s="592"/>
      <c r="N78" s="592"/>
      <c r="O78" s="592"/>
      <c r="P78" s="287"/>
      <c r="Q78" s="514"/>
      <c r="R78" s="603"/>
      <c r="S78" s="907" t="s">
        <v>60</v>
      </c>
      <c r="T78" s="907" t="s">
        <v>98</v>
      </c>
      <c r="U78" s="955" t="s">
        <v>114</v>
      </c>
      <c r="V78" s="287">
        <v>2.57</v>
      </c>
      <c r="W78" s="514" t="s">
        <v>17</v>
      </c>
      <c r="X78" s="866">
        <v>37265</v>
      </c>
      <c r="Y78" s="579"/>
      <c r="Z78" s="584"/>
      <c r="AA78" s="902"/>
      <c r="AB78" s="579"/>
      <c r="AC78" s="559"/>
      <c r="AD78" s="903"/>
      <c r="AE78" s="25"/>
      <c r="AF78" s="25"/>
      <c r="AG78" s="584"/>
      <c r="AH78" s="584"/>
      <c r="AI78" s="584"/>
      <c r="AJ78" s="113"/>
      <c r="AK78" s="560"/>
      <c r="AL78" s="538"/>
      <c r="AM78" s="560"/>
      <c r="AN78" s="579"/>
      <c r="AO78" s="580"/>
      <c r="AP78" s="617"/>
      <c r="AQ78" s="631"/>
      <c r="AS78" s="278"/>
      <c r="AT78" s="278"/>
      <c r="AU78" s="278"/>
      <c r="AV78" s="278"/>
      <c r="AW78" s="278"/>
      <c r="AX78" s="278"/>
      <c r="AY78" s="278"/>
    </row>
    <row r="79" spans="1:51" ht="37.5" customHeight="1">
      <c r="A79" s="970"/>
      <c r="B79" s="870"/>
      <c r="C79" s="891"/>
      <c r="D79" s="873"/>
      <c r="E79" s="873"/>
      <c r="F79" s="874"/>
      <c r="G79" s="24"/>
      <c r="H79" s="24"/>
      <c r="I79" s="24"/>
      <c r="J79" s="599"/>
      <c r="K79" s="600"/>
      <c r="L79" s="279"/>
      <c r="M79" s="592"/>
      <c r="N79" s="592"/>
      <c r="O79" s="592"/>
      <c r="P79" s="287"/>
      <c r="Q79" s="583"/>
      <c r="R79" s="603"/>
      <c r="S79" s="907"/>
      <c r="T79" s="907"/>
      <c r="U79" s="955"/>
      <c r="V79" s="287">
        <f>L78</f>
        <v>0</v>
      </c>
      <c r="W79" s="583" t="s">
        <v>32</v>
      </c>
      <c r="X79" s="866"/>
      <c r="Y79" s="579"/>
      <c r="Z79" s="584"/>
      <c r="AA79" s="902"/>
      <c r="AB79" s="579"/>
      <c r="AC79" s="580"/>
      <c r="AD79" s="903"/>
      <c r="AE79" s="25"/>
      <c r="AF79" s="25"/>
      <c r="AG79" s="584"/>
      <c r="AH79" s="584"/>
      <c r="AI79" s="584"/>
      <c r="AJ79" s="113"/>
      <c r="AK79" s="560"/>
      <c r="AL79" s="538"/>
      <c r="AM79" s="560"/>
      <c r="AN79" s="579"/>
      <c r="AO79" s="580"/>
      <c r="AP79" s="617"/>
      <c r="AQ79" s="631"/>
      <c r="AS79" s="278"/>
      <c r="AT79" s="278"/>
      <c r="AU79" s="278"/>
      <c r="AV79" s="278"/>
      <c r="AW79" s="278"/>
      <c r="AX79" s="278"/>
      <c r="AY79" s="278"/>
    </row>
    <row r="80" spans="1:51" ht="70.5" customHeight="1">
      <c r="A80" s="970">
        <v>26</v>
      </c>
      <c r="B80" s="870">
        <v>805512</v>
      </c>
      <c r="C80" s="891" t="s">
        <v>99</v>
      </c>
      <c r="D80" s="873" t="s">
        <v>879</v>
      </c>
      <c r="E80" s="873">
        <v>12.24</v>
      </c>
      <c r="F80" s="874">
        <v>73440</v>
      </c>
      <c r="G80" s="24"/>
      <c r="H80" s="24"/>
      <c r="I80" s="24"/>
      <c r="J80" s="599"/>
      <c r="K80" s="600"/>
      <c r="L80" s="279"/>
      <c r="M80" s="955"/>
      <c r="N80" s="592"/>
      <c r="O80" s="592"/>
      <c r="P80" s="287"/>
      <c r="Q80" s="514"/>
      <c r="R80" s="604"/>
      <c r="S80" s="907" t="s">
        <v>60</v>
      </c>
      <c r="T80" s="907" t="s">
        <v>100</v>
      </c>
      <c r="U80" s="907" t="s">
        <v>31</v>
      </c>
      <c r="V80" s="287">
        <v>12.24</v>
      </c>
      <c r="W80" s="514" t="s">
        <v>17</v>
      </c>
      <c r="X80" s="866">
        <v>311250</v>
      </c>
      <c r="Y80" s="584"/>
      <c r="Z80" s="584"/>
      <c r="AA80" s="584"/>
      <c r="AB80" s="584"/>
      <c r="AC80" s="584"/>
      <c r="AD80" s="113"/>
      <c r="AE80" s="902"/>
      <c r="AF80" s="903"/>
      <c r="AG80" s="902"/>
      <c r="AH80" s="579"/>
      <c r="AI80" s="559"/>
      <c r="AJ80" s="903"/>
      <c r="AK80" s="560"/>
      <c r="AL80" s="538"/>
      <c r="AM80" s="560"/>
      <c r="AN80" s="579"/>
      <c r="AO80" s="580"/>
      <c r="AP80" s="617"/>
      <c r="AQ80" s="631"/>
      <c r="AS80" s="278"/>
      <c r="AT80" s="278"/>
      <c r="AU80" s="278"/>
      <c r="AV80" s="278"/>
      <c r="AW80" s="278"/>
      <c r="AX80" s="278"/>
      <c r="AY80" s="278"/>
    </row>
    <row r="81" spans="1:56" ht="70.5" customHeight="1">
      <c r="A81" s="970"/>
      <c r="B81" s="870"/>
      <c r="C81" s="891"/>
      <c r="D81" s="873"/>
      <c r="E81" s="873"/>
      <c r="F81" s="874"/>
      <c r="G81" s="24"/>
      <c r="H81" s="24"/>
      <c r="I81" s="24"/>
      <c r="J81" s="599"/>
      <c r="K81" s="600"/>
      <c r="L81" s="279"/>
      <c r="M81" s="907"/>
      <c r="N81" s="592"/>
      <c r="O81" s="592"/>
      <c r="P81" s="287"/>
      <c r="Q81" s="583"/>
      <c r="R81" s="604"/>
      <c r="S81" s="907"/>
      <c r="T81" s="907"/>
      <c r="U81" s="907"/>
      <c r="V81" s="287">
        <f>73440</f>
        <v>73440</v>
      </c>
      <c r="W81" s="583" t="s">
        <v>32</v>
      </c>
      <c r="X81" s="866"/>
      <c r="Y81" s="584"/>
      <c r="Z81" s="584"/>
      <c r="AA81" s="584"/>
      <c r="AB81" s="584"/>
      <c r="AC81" s="584"/>
      <c r="AD81" s="113"/>
      <c r="AE81" s="902"/>
      <c r="AF81" s="903"/>
      <c r="AG81" s="902"/>
      <c r="AH81" s="579"/>
      <c r="AI81" s="580"/>
      <c r="AJ81" s="903"/>
      <c r="AK81" s="560"/>
      <c r="AL81" s="538"/>
      <c r="AM81" s="560"/>
      <c r="AN81" s="579"/>
      <c r="AO81" s="580"/>
      <c r="AP81" s="617"/>
      <c r="AQ81" s="631"/>
      <c r="AS81" s="278"/>
      <c r="AT81" s="278"/>
      <c r="AU81" s="278"/>
      <c r="AV81" s="278"/>
      <c r="AW81" s="278"/>
      <c r="AX81" s="278"/>
      <c r="AY81" s="278"/>
    </row>
    <row r="82" spans="1:56" ht="37.5" customHeight="1">
      <c r="A82" s="970">
        <v>27</v>
      </c>
      <c r="B82" s="870">
        <v>805860</v>
      </c>
      <c r="C82" s="891" t="s">
        <v>101</v>
      </c>
      <c r="D82" s="892" t="s">
        <v>880</v>
      </c>
      <c r="E82" s="892">
        <v>8.41</v>
      </c>
      <c r="F82" s="873">
        <v>50400</v>
      </c>
      <c r="G82" s="961"/>
      <c r="H82" s="24"/>
      <c r="I82" s="24"/>
      <c r="J82" s="599"/>
      <c r="K82" s="600"/>
      <c r="L82" s="279"/>
      <c r="M82" s="24"/>
      <c r="N82" s="24"/>
      <c r="O82" s="24"/>
      <c r="P82" s="24"/>
      <c r="Q82" s="601"/>
      <c r="R82" s="602"/>
      <c r="S82" s="902" t="s">
        <v>60</v>
      </c>
      <c r="T82" s="903" t="s">
        <v>2562</v>
      </c>
      <c r="U82" s="902" t="s">
        <v>31</v>
      </c>
      <c r="V82" s="579">
        <v>8.41</v>
      </c>
      <c r="W82" s="559" t="s">
        <v>17</v>
      </c>
      <c r="X82" s="967">
        <v>208156.2</v>
      </c>
      <c r="Y82" s="579"/>
      <c r="Z82" s="584"/>
      <c r="AA82" s="25"/>
      <c r="AB82" s="25"/>
      <c r="AC82" s="25"/>
      <c r="AD82" s="538"/>
      <c r="AE82" s="25"/>
      <c r="AF82" s="25"/>
      <c r="AG82" s="25"/>
      <c r="AH82" s="25"/>
      <c r="AI82" s="25"/>
      <c r="AJ82" s="538"/>
      <c r="AK82" s="560"/>
      <c r="AL82" s="538"/>
      <c r="AM82" s="560"/>
      <c r="AN82" s="579"/>
      <c r="AO82" s="580"/>
      <c r="AP82" s="617"/>
      <c r="AQ82" s="631"/>
      <c r="AS82" s="278"/>
      <c r="AT82" s="278"/>
      <c r="AU82" s="278"/>
      <c r="AV82" s="278"/>
      <c r="AW82" s="278"/>
      <c r="AX82" s="278"/>
      <c r="AY82" s="278"/>
    </row>
    <row r="83" spans="1:56" ht="37.5" customHeight="1">
      <c r="A83" s="970"/>
      <c r="B83" s="870"/>
      <c r="C83" s="891"/>
      <c r="D83" s="892"/>
      <c r="E83" s="892"/>
      <c r="F83" s="873"/>
      <c r="G83" s="961"/>
      <c r="H83" s="24"/>
      <c r="I83" s="24"/>
      <c r="J83" s="599"/>
      <c r="K83" s="600"/>
      <c r="L83" s="279"/>
      <c r="M83" s="24"/>
      <c r="N83" s="24"/>
      <c r="O83" s="24"/>
      <c r="P83" s="24"/>
      <c r="Q83" s="601"/>
      <c r="R83" s="602"/>
      <c r="S83" s="902"/>
      <c r="T83" s="903"/>
      <c r="U83" s="902"/>
      <c r="V83" s="579">
        <f>F82/E82*V82</f>
        <v>50400</v>
      </c>
      <c r="W83" s="580" t="s">
        <v>32</v>
      </c>
      <c r="X83" s="967"/>
      <c r="Y83" s="579"/>
      <c r="Z83" s="584"/>
      <c r="AA83" s="25"/>
      <c r="AB83" s="25"/>
      <c r="AC83" s="25"/>
      <c r="AD83" s="538"/>
      <c r="AE83" s="25"/>
      <c r="AF83" s="25"/>
      <c r="AG83" s="25"/>
      <c r="AH83" s="25"/>
      <c r="AI83" s="25"/>
      <c r="AJ83" s="538"/>
      <c r="AK83" s="560"/>
      <c r="AL83" s="538"/>
      <c r="AM83" s="560"/>
      <c r="AN83" s="579"/>
      <c r="AO83" s="580"/>
      <c r="AP83" s="617"/>
      <c r="AQ83" s="631"/>
      <c r="AS83" s="278"/>
      <c r="AT83" s="278"/>
      <c r="AU83" s="278"/>
      <c r="AV83" s="278"/>
      <c r="AW83" s="278"/>
      <c r="AX83" s="278"/>
      <c r="AY83" s="278"/>
    </row>
    <row r="84" spans="1:56" ht="37.5" customHeight="1">
      <c r="A84" s="970">
        <v>28</v>
      </c>
      <c r="B84" s="870">
        <v>805572</v>
      </c>
      <c r="C84" s="891" t="s">
        <v>102</v>
      </c>
      <c r="D84" s="873" t="s">
        <v>881</v>
      </c>
      <c r="E84" s="873">
        <v>6.13</v>
      </c>
      <c r="F84" s="874">
        <v>36780</v>
      </c>
      <c r="G84" s="874"/>
      <c r="H84" s="24"/>
      <c r="I84" s="24"/>
      <c r="J84" s="599"/>
      <c r="K84" s="600"/>
      <c r="L84" s="279"/>
      <c r="M84" s="907"/>
      <c r="N84" s="592"/>
      <c r="O84" s="592"/>
      <c r="P84" s="287"/>
      <c r="Q84" s="514"/>
      <c r="R84" s="604"/>
      <c r="S84" s="907" t="s">
        <v>60</v>
      </c>
      <c r="T84" s="907" t="s">
        <v>103</v>
      </c>
      <c r="U84" s="955" t="s">
        <v>114</v>
      </c>
      <c r="V84" s="287">
        <v>6.1</v>
      </c>
      <c r="W84" s="514" t="s">
        <v>17</v>
      </c>
      <c r="X84" s="967">
        <v>88450.01</v>
      </c>
      <c r="Y84" s="579"/>
      <c r="Z84" s="584"/>
      <c r="AA84" s="25"/>
      <c r="AB84" s="25"/>
      <c r="AC84" s="25"/>
      <c r="AD84" s="538"/>
      <c r="AE84" s="902"/>
      <c r="AF84" s="903"/>
      <c r="AG84" s="902"/>
      <c r="AH84" s="579"/>
      <c r="AI84" s="559"/>
      <c r="AJ84" s="903"/>
      <c r="AK84" s="560"/>
      <c r="AL84" s="538"/>
      <c r="AM84" s="560"/>
      <c r="AN84" s="579"/>
      <c r="AO84" s="580"/>
      <c r="AP84" s="617"/>
      <c r="AQ84" s="631"/>
      <c r="AS84" s="278"/>
      <c r="AT84" s="278"/>
      <c r="AU84" s="278"/>
      <c r="AV84" s="278"/>
      <c r="AW84" s="278"/>
      <c r="AX84" s="278"/>
      <c r="AY84" s="278"/>
    </row>
    <row r="85" spans="1:56" ht="37.5" customHeight="1">
      <c r="A85" s="970"/>
      <c r="B85" s="870"/>
      <c r="C85" s="891"/>
      <c r="D85" s="873"/>
      <c r="E85" s="873"/>
      <c r="F85" s="874"/>
      <c r="G85" s="874"/>
      <c r="H85" s="24"/>
      <c r="I85" s="24"/>
      <c r="J85" s="599"/>
      <c r="K85" s="600"/>
      <c r="L85" s="279"/>
      <c r="M85" s="907"/>
      <c r="N85" s="592"/>
      <c r="O85" s="592"/>
      <c r="P85" s="287"/>
      <c r="Q85" s="583"/>
      <c r="R85" s="604"/>
      <c r="S85" s="907"/>
      <c r="T85" s="907"/>
      <c r="U85" s="955"/>
      <c r="V85" s="287">
        <f>V84*F84/E84</f>
        <v>36600</v>
      </c>
      <c r="W85" s="583" t="s">
        <v>32</v>
      </c>
      <c r="X85" s="967"/>
      <c r="Y85" s="579"/>
      <c r="Z85" s="584"/>
      <c r="AA85" s="25"/>
      <c r="AB85" s="25"/>
      <c r="AC85" s="25"/>
      <c r="AD85" s="538"/>
      <c r="AE85" s="902"/>
      <c r="AF85" s="903"/>
      <c r="AG85" s="902"/>
      <c r="AH85" s="579"/>
      <c r="AI85" s="580"/>
      <c r="AJ85" s="903"/>
      <c r="AK85" s="560"/>
      <c r="AL85" s="538"/>
      <c r="AM85" s="560"/>
      <c r="AN85" s="579"/>
      <c r="AO85" s="580"/>
      <c r="AP85" s="617"/>
      <c r="AQ85" s="631"/>
      <c r="AS85" s="278"/>
      <c r="AT85" s="278"/>
      <c r="AU85" s="278"/>
      <c r="AV85" s="278"/>
      <c r="AW85" s="278"/>
      <c r="AX85" s="278"/>
      <c r="AY85" s="278"/>
    </row>
    <row r="86" spans="1:56" ht="58.5">
      <c r="A86" s="970">
        <v>29</v>
      </c>
      <c r="B86" s="870" t="s">
        <v>882</v>
      </c>
      <c r="C86" s="891" t="s">
        <v>104</v>
      </c>
      <c r="D86" s="892" t="s">
        <v>883</v>
      </c>
      <c r="E86" s="873">
        <v>14.05</v>
      </c>
      <c r="F86" s="874">
        <v>84300</v>
      </c>
      <c r="G86" s="509" t="s">
        <v>105</v>
      </c>
      <c r="H86" s="509" t="s">
        <v>106</v>
      </c>
      <c r="I86" s="18" t="s">
        <v>49</v>
      </c>
      <c r="J86" s="534">
        <v>615</v>
      </c>
      <c r="K86" s="274" t="s">
        <v>2681</v>
      </c>
      <c r="L86" s="508">
        <v>2209.1256699999999</v>
      </c>
      <c r="M86" s="518"/>
      <c r="N86" s="513"/>
      <c r="O86" s="513"/>
      <c r="P86" s="288"/>
      <c r="Q86" s="513"/>
      <c r="R86" s="605"/>
      <c r="S86" s="865" t="s">
        <v>60</v>
      </c>
      <c r="T86" s="865" t="s">
        <v>107</v>
      </c>
      <c r="U86" s="955" t="s">
        <v>114</v>
      </c>
      <c r="V86" s="286">
        <v>4</v>
      </c>
      <c r="W86" s="518" t="s">
        <v>17</v>
      </c>
      <c r="X86" s="866">
        <v>48624</v>
      </c>
      <c r="Y86" s="865" t="s">
        <v>107</v>
      </c>
      <c r="Z86" s="865" t="s">
        <v>108</v>
      </c>
      <c r="AA86" s="865" t="s">
        <v>31</v>
      </c>
      <c r="AB86" s="286">
        <v>2.7</v>
      </c>
      <c r="AC86" s="518" t="s">
        <v>17</v>
      </c>
      <c r="AD86" s="907">
        <v>122775.59999999999</v>
      </c>
      <c r="AE86" s="507"/>
      <c r="AF86" s="507"/>
      <c r="AG86" s="507" t="s">
        <v>482</v>
      </c>
      <c r="AH86" s="286"/>
      <c r="AI86" s="507"/>
      <c r="AJ86" s="509"/>
      <c r="AK86" s="507"/>
      <c r="AL86" s="507"/>
      <c r="AM86" s="507" t="s">
        <v>482</v>
      </c>
      <c r="AN86" s="286"/>
      <c r="AO86" s="507"/>
      <c r="AP86" s="509"/>
      <c r="AQ86" s="631"/>
      <c r="AS86" s="278"/>
      <c r="AT86" s="278"/>
      <c r="AU86" s="278"/>
      <c r="AV86" s="278"/>
      <c r="AW86" s="278"/>
      <c r="AX86" s="278"/>
      <c r="AY86" s="278"/>
    </row>
    <row r="87" spans="1:56">
      <c r="A87" s="970"/>
      <c r="B87" s="870"/>
      <c r="C87" s="891"/>
      <c r="D87" s="892"/>
      <c r="E87" s="873"/>
      <c r="F87" s="874"/>
      <c r="G87" s="507"/>
      <c r="H87" s="507"/>
      <c r="I87" s="511"/>
      <c r="J87" s="534"/>
      <c r="K87" s="518"/>
      <c r="L87" s="508"/>
      <c r="M87" s="518"/>
      <c r="N87" s="513"/>
      <c r="O87" s="513"/>
      <c r="P87" s="288"/>
      <c r="Q87" s="513"/>
      <c r="R87" s="605"/>
      <c r="S87" s="865"/>
      <c r="T87" s="865"/>
      <c r="U87" s="955"/>
      <c r="V87" s="287">
        <f>F86/E86*V86</f>
        <v>24000</v>
      </c>
      <c r="W87" s="507" t="s">
        <v>32</v>
      </c>
      <c r="X87" s="866"/>
      <c r="Y87" s="865"/>
      <c r="Z87" s="865"/>
      <c r="AA87" s="865"/>
      <c r="AB87" s="287">
        <f>F86/E86*AB86</f>
        <v>16200.000000000002</v>
      </c>
      <c r="AC87" s="507" t="s">
        <v>32</v>
      </c>
      <c r="AD87" s="907"/>
      <c r="AE87" s="507"/>
      <c r="AF87" s="507"/>
      <c r="AG87" s="507"/>
      <c r="AH87" s="286"/>
      <c r="AI87" s="507"/>
      <c r="AJ87" s="509"/>
      <c r="AK87" s="507"/>
      <c r="AL87" s="507"/>
      <c r="AM87" s="507"/>
      <c r="AN87" s="286"/>
      <c r="AO87" s="507"/>
      <c r="AP87" s="509"/>
      <c r="AQ87" s="631"/>
      <c r="AS87" s="278"/>
      <c r="AT87" s="278"/>
      <c r="AU87" s="278"/>
      <c r="AV87" s="278"/>
      <c r="AW87" s="278"/>
      <c r="AX87" s="278"/>
      <c r="AY87" s="278"/>
    </row>
    <row r="88" spans="1:56" ht="42.75" customHeight="1">
      <c r="A88" s="972">
        <v>30</v>
      </c>
      <c r="B88" s="926">
        <v>805671</v>
      </c>
      <c r="C88" s="927" t="s">
        <v>109</v>
      </c>
      <c r="D88" s="928" t="s">
        <v>884</v>
      </c>
      <c r="E88" s="928">
        <v>18.059999999999999</v>
      </c>
      <c r="F88" s="929">
        <v>126420</v>
      </c>
      <c r="G88" s="886" t="s">
        <v>110</v>
      </c>
      <c r="H88" s="886" t="s">
        <v>110</v>
      </c>
      <c r="I88" s="886" t="s">
        <v>93</v>
      </c>
      <c r="J88" s="895">
        <v>1</v>
      </c>
      <c r="K88" s="865" t="s">
        <v>118</v>
      </c>
      <c r="L88" s="1000">
        <f>43.04992+0.14888</f>
        <v>43.198799999999999</v>
      </c>
      <c r="M88" s="20"/>
      <c r="N88" s="20"/>
      <c r="O88" s="20"/>
      <c r="P88" s="24"/>
      <c r="Q88" s="20"/>
      <c r="R88" s="602"/>
      <c r="S88" s="538"/>
      <c r="T88" s="538"/>
      <c r="U88" s="538"/>
      <c r="V88" s="25"/>
      <c r="W88" s="538"/>
      <c r="X88" s="619"/>
      <c r="Y88" s="538"/>
      <c r="Z88" s="12"/>
      <c r="AA88" s="538"/>
      <c r="AB88" s="25"/>
      <c r="AC88" s="538"/>
      <c r="AD88" s="538"/>
      <c r="AE88" s="538"/>
      <c r="AF88" s="538"/>
      <c r="AG88" s="538"/>
      <c r="AH88" s="25"/>
      <c r="AI88" s="538"/>
      <c r="AJ88" s="538"/>
      <c r="AK88" s="903"/>
      <c r="AL88" s="903"/>
      <c r="AM88" s="902"/>
      <c r="AN88" s="25"/>
      <c r="AO88" s="559"/>
      <c r="AP88" s="960"/>
      <c r="AQ88" s="631"/>
      <c r="AS88" s="278"/>
      <c r="AT88" s="278"/>
      <c r="AU88" s="278"/>
      <c r="AV88" s="278"/>
      <c r="AW88" s="278"/>
      <c r="AX88" s="278"/>
      <c r="AY88" s="278"/>
    </row>
    <row r="89" spans="1:56" ht="42.75" customHeight="1">
      <c r="A89" s="972"/>
      <c r="B89" s="926"/>
      <c r="C89" s="927"/>
      <c r="D89" s="928"/>
      <c r="E89" s="928"/>
      <c r="F89" s="929"/>
      <c r="G89" s="886"/>
      <c r="H89" s="886"/>
      <c r="I89" s="886"/>
      <c r="J89" s="895"/>
      <c r="K89" s="865"/>
      <c r="L89" s="1001"/>
      <c r="M89" s="20"/>
      <c r="N89" s="20"/>
      <c r="O89" s="20"/>
      <c r="P89" s="24"/>
      <c r="Q89" s="20"/>
      <c r="R89" s="602"/>
      <c r="S89" s="538"/>
      <c r="T89" s="538"/>
      <c r="U89" s="538"/>
      <c r="V89" s="25"/>
      <c r="W89" s="538"/>
      <c r="X89" s="619"/>
      <c r="Y89" s="538"/>
      <c r="Z89" s="12"/>
      <c r="AA89" s="538"/>
      <c r="AB89" s="25"/>
      <c r="AC89" s="538"/>
      <c r="AD89" s="538"/>
      <c r="AE89" s="538"/>
      <c r="AF89" s="538"/>
      <c r="AG89" s="538"/>
      <c r="AH89" s="25"/>
      <c r="AI89" s="538"/>
      <c r="AJ89" s="538"/>
      <c r="AK89" s="903"/>
      <c r="AL89" s="903"/>
      <c r="AM89" s="902"/>
      <c r="AN89" s="25"/>
      <c r="AO89" s="580"/>
      <c r="AP89" s="960"/>
      <c r="AQ89" s="631"/>
      <c r="AS89" s="278"/>
      <c r="AT89" s="278"/>
      <c r="AU89" s="278"/>
      <c r="AV89" s="278"/>
      <c r="AW89" s="278"/>
      <c r="AX89" s="278"/>
      <c r="AY89" s="278"/>
    </row>
    <row r="90" spans="1:56" ht="50.25" customHeight="1">
      <c r="A90" s="925"/>
      <c r="B90" s="926"/>
      <c r="C90" s="927" t="s">
        <v>111</v>
      </c>
      <c r="D90" s="928"/>
      <c r="E90" s="928"/>
      <c r="F90" s="929"/>
      <c r="G90" s="20"/>
      <c r="H90" s="20"/>
      <c r="I90" s="886" t="s">
        <v>112</v>
      </c>
      <c r="J90" s="887"/>
      <c r="K90" s="518"/>
      <c r="L90" s="279"/>
      <c r="M90" s="20"/>
      <c r="N90" s="20"/>
      <c r="O90" s="886" t="s">
        <v>112</v>
      </c>
      <c r="P90" s="24"/>
      <c r="Q90" s="518" t="s">
        <v>17</v>
      </c>
      <c r="R90" s="888"/>
      <c r="S90" s="26"/>
      <c r="T90" s="26"/>
      <c r="U90" s="886" t="s">
        <v>112</v>
      </c>
      <c r="V90" s="24"/>
      <c r="W90" s="518" t="s">
        <v>17</v>
      </c>
      <c r="X90" s="621">
        <v>0</v>
      </c>
      <c r="Y90" s="26"/>
      <c r="Z90" s="14"/>
      <c r="AA90" s="886" t="s">
        <v>112</v>
      </c>
      <c r="AB90" s="24"/>
      <c r="AC90" s="518" t="s">
        <v>17</v>
      </c>
      <c r="AD90" s="886"/>
      <c r="AE90" s="26"/>
      <c r="AF90" s="26"/>
      <c r="AG90" s="886" t="s">
        <v>112</v>
      </c>
      <c r="AH90" s="24">
        <f>266.1</f>
        <v>266.10000000000002</v>
      </c>
      <c r="AI90" s="518" t="s">
        <v>17</v>
      </c>
      <c r="AJ90" s="886">
        <v>500000</v>
      </c>
      <c r="AK90" s="26"/>
      <c r="AL90" s="26"/>
      <c r="AM90" s="886" t="s">
        <v>112</v>
      </c>
      <c r="AN90" s="24">
        <f>J92+266.1</f>
        <v>266.10000000000002</v>
      </c>
      <c r="AO90" s="518" t="s">
        <v>17</v>
      </c>
      <c r="AP90" s="886">
        <v>800000</v>
      </c>
      <c r="AQ90" s="631"/>
      <c r="AS90" s="278"/>
      <c r="AT90" s="278"/>
      <c r="AU90" s="278"/>
      <c r="AV90" s="278"/>
      <c r="AW90" s="278"/>
      <c r="AX90" s="278"/>
      <c r="AY90" s="278"/>
    </row>
    <row r="91" spans="1:56" ht="50.25" customHeight="1">
      <c r="A91" s="925"/>
      <c r="B91" s="926"/>
      <c r="C91" s="927"/>
      <c r="D91" s="928"/>
      <c r="E91" s="928"/>
      <c r="F91" s="929"/>
      <c r="G91" s="20"/>
      <c r="H91" s="20"/>
      <c r="I91" s="886"/>
      <c r="J91" s="887"/>
      <c r="K91" s="507"/>
      <c r="L91" s="279"/>
      <c r="M91" s="20"/>
      <c r="N91" s="20"/>
      <c r="O91" s="886"/>
      <c r="P91" s="24">
        <f>P90*7500</f>
        <v>0</v>
      </c>
      <c r="Q91" s="507" t="s">
        <v>32</v>
      </c>
      <c r="R91" s="888"/>
      <c r="S91" s="26"/>
      <c r="T91" s="26"/>
      <c r="U91" s="886"/>
      <c r="V91" s="24">
        <f>V90*7500</f>
        <v>0</v>
      </c>
      <c r="W91" s="507" t="s">
        <v>32</v>
      </c>
      <c r="X91" s="621"/>
      <c r="Y91" s="26"/>
      <c r="Z91" s="14"/>
      <c r="AA91" s="886"/>
      <c r="AB91" s="24"/>
      <c r="AC91" s="507" t="s">
        <v>32</v>
      </c>
      <c r="AD91" s="886"/>
      <c r="AE91" s="26"/>
      <c r="AF91" s="26"/>
      <c r="AG91" s="886"/>
      <c r="AH91" s="24">
        <f>AH90*7500</f>
        <v>1995750.0000000002</v>
      </c>
      <c r="AI91" s="507" t="s">
        <v>32</v>
      </c>
      <c r="AJ91" s="886"/>
      <c r="AK91" s="26"/>
      <c r="AL91" s="26"/>
      <c r="AM91" s="886"/>
      <c r="AN91" s="24">
        <f>AN90*7500</f>
        <v>1995750.0000000002</v>
      </c>
      <c r="AO91" s="507" t="s">
        <v>32</v>
      </c>
      <c r="AP91" s="886"/>
      <c r="AQ91" s="631" t="str">
        <f>IF(K91="км",J91,"")</f>
        <v/>
      </c>
      <c r="AS91" s="278"/>
      <c r="AT91" s="278"/>
      <c r="AU91" s="278"/>
      <c r="AV91" s="278"/>
      <c r="AW91" s="278"/>
      <c r="AX91" s="278"/>
      <c r="AY91" s="278"/>
    </row>
    <row r="92" spans="1:56" ht="61.5" customHeight="1">
      <c r="A92" s="633"/>
      <c r="B92" s="532"/>
      <c r="C92" s="533"/>
      <c r="D92" s="532"/>
      <c r="E92" s="506">
        <f>SUM(E7:E89)</f>
        <v>479.89300000000003</v>
      </c>
      <c r="F92" s="421">
        <f>SUM(F7:F89)</f>
        <v>3722289</v>
      </c>
      <c r="G92" s="506"/>
      <c r="H92" s="506"/>
      <c r="I92" s="506" t="s">
        <v>1312</v>
      </c>
      <c r="J92" s="415"/>
      <c r="K92" s="506"/>
      <c r="L92" s="416">
        <f>SUM(L7:L91)</f>
        <v>1348032.8551289998</v>
      </c>
      <c r="M92" s="417"/>
      <c r="N92" s="418"/>
      <c r="O92" s="506"/>
      <c r="P92" s="415"/>
      <c r="Q92" s="506"/>
      <c r="R92" s="416">
        <f>SUM(R7:R91)</f>
        <v>761810</v>
      </c>
      <c r="S92" s="506"/>
      <c r="T92" s="506"/>
      <c r="U92" s="506"/>
      <c r="V92" s="415"/>
      <c r="W92" s="506"/>
      <c r="X92" s="416">
        <f>SUM(X7:X91)</f>
        <v>1126245.21</v>
      </c>
      <c r="Y92" s="506"/>
      <c r="Z92" s="506"/>
      <c r="AA92" s="506"/>
      <c r="AB92" s="415"/>
      <c r="AC92" s="506"/>
      <c r="AD92" s="416">
        <f>SUM(AD7:AD91)</f>
        <v>326775.59999999998</v>
      </c>
      <c r="AE92" s="506"/>
      <c r="AF92" s="506"/>
      <c r="AG92" s="506"/>
      <c r="AH92" s="415"/>
      <c r="AI92" s="506"/>
      <c r="AJ92" s="416">
        <f>SUM(AJ7:AJ91)</f>
        <v>1610000</v>
      </c>
      <c r="AK92" s="506"/>
      <c r="AL92" s="506"/>
      <c r="AM92" s="506"/>
      <c r="AN92" s="415"/>
      <c r="AO92" s="506"/>
      <c r="AP92" s="416">
        <f>SUM(AP7:AP91)</f>
        <v>974000</v>
      </c>
      <c r="AQ92" s="631" t="str">
        <f>IF(K92="км",J92,"")</f>
        <v/>
      </c>
      <c r="AR92" s="278" t="str">
        <f>IF(Q92="км",P92,"")</f>
        <v/>
      </c>
      <c r="AS92" s="278" t="str">
        <f>IF(W92="км",V92,"")</f>
        <v/>
      </c>
      <c r="AT92" s="278" t="str">
        <f>IF(AC92="км",AB92,"")</f>
        <v/>
      </c>
      <c r="AU92" s="278" t="str">
        <f>IF(AI92="км",AH92,"")</f>
        <v/>
      </c>
      <c r="AV92" s="278" t="str">
        <f>IF(AO92="км",AN92,"")</f>
        <v/>
      </c>
      <c r="AW92" s="278"/>
      <c r="AX92" s="278"/>
      <c r="AY92" s="278"/>
    </row>
    <row r="93" spans="1:56" ht="21" customHeight="1">
      <c r="A93" s="973" t="s">
        <v>3261</v>
      </c>
      <c r="B93" s="974"/>
      <c r="C93" s="974"/>
      <c r="D93" s="974"/>
      <c r="E93" s="974"/>
      <c r="F93" s="974"/>
      <c r="G93" s="974"/>
      <c r="H93" s="974"/>
      <c r="I93" s="906" t="s">
        <v>114</v>
      </c>
      <c r="J93" s="38">
        <f>SUMIF(I7:I88,"=ремонт покрытия проезжей части",J7:J88)</f>
        <v>41.179400000000001</v>
      </c>
      <c r="K93" s="396" t="s">
        <v>17</v>
      </c>
      <c r="L93" s="896">
        <f>SUMIF(I7:I88,"=ремонт покрытия проезжей части",L7:L88)+SUMIF(I7:I88,"=ремонт покрытия проезжей части",L8:L89)</f>
        <v>551742.26107900008</v>
      </c>
      <c r="M93" s="419"/>
      <c r="N93" s="396"/>
      <c r="O93" s="906" t="s">
        <v>114</v>
      </c>
      <c r="P93" s="38">
        <f>SUMIF(O7:O88,"=ремонт покрытия проезжей части",P7:P88)</f>
        <v>38.055</v>
      </c>
      <c r="Q93" s="396" t="s">
        <v>17</v>
      </c>
      <c r="R93" s="896">
        <f>SUMIF(O7:O88,"=ремонт покрытия проезжей части",R7:R88)+SUMIF(O7:O88,"=ремонт покрытия проезжей части",R8:R89)</f>
        <v>761810</v>
      </c>
      <c r="S93" s="396"/>
      <c r="T93" s="396"/>
      <c r="U93" s="906" t="s">
        <v>114</v>
      </c>
      <c r="V93" s="38">
        <f>SUMIF(U7:U88,"=ремонт покрытия проезжей части",V7:V88)</f>
        <v>17.670000000000002</v>
      </c>
      <c r="W93" s="396" t="s">
        <v>17</v>
      </c>
      <c r="X93" s="896">
        <f>SUMIF(U7:U88,"=ремонт покрытия проезжей части",X7:X88)+SUMIF(U7:U88,"=ремонт покрытия проезжей части",X8:X89)</f>
        <v>246839.01</v>
      </c>
      <c r="Y93" s="396"/>
      <c r="Z93" s="396"/>
      <c r="AA93" s="906" t="s">
        <v>114</v>
      </c>
      <c r="AB93" s="38">
        <f>SUMIF(AA7:AA88,"=ремонт покрытия проезжей части",AB7:AB88)</f>
        <v>0</v>
      </c>
      <c r="AC93" s="396" t="s">
        <v>17</v>
      </c>
      <c r="AD93" s="896">
        <f>SUMIF(AA7:AA88,"=ремонт покрытия проезжей части",AD7:AD88)+SUMIF(AA7:AA88,"=ремонт покрытия проезжей части",AD8:AD89)</f>
        <v>0</v>
      </c>
      <c r="AE93" s="396"/>
      <c r="AF93" s="396"/>
      <c r="AG93" s="906" t="s">
        <v>114</v>
      </c>
      <c r="AH93" s="38">
        <f>SUMIF(AG7:AG88,"=ремонт покрытия проезжей части",AH7:AH88)</f>
        <v>0</v>
      </c>
      <c r="AI93" s="396" t="s">
        <v>17</v>
      </c>
      <c r="AJ93" s="896">
        <f>SUMIF(AG7:AG88,"=ремонт покрытия проезжей части",AJ7:AJ88)+SUMIF(AG7:AG88,"=ремонт покрытия проезжей части",AJ8:AJ89)</f>
        <v>0</v>
      </c>
      <c r="AK93" s="396"/>
      <c r="AL93" s="396"/>
      <c r="AM93" s="906" t="s">
        <v>114</v>
      </c>
      <c r="AN93" s="38">
        <f>SUMIF(AM7:AM88,"=ремонт покрытия проезжей части",AN7:AN88)</f>
        <v>0</v>
      </c>
      <c r="AO93" s="396" t="s">
        <v>17</v>
      </c>
      <c r="AP93" s="896">
        <f>SUMIF(AM7:AM88,"=ремонт покрытия проезжей части",AP7:AP88)+SUMIF(AM7:AM88,"=ремонт покрытия проезжей части",AP8:AP89)</f>
        <v>0</v>
      </c>
      <c r="AQ93" s="634"/>
      <c r="AR93" s="606"/>
      <c r="AS93" s="394"/>
      <c r="AT93" s="393"/>
      <c r="AU93" s="395"/>
      <c r="AV93" s="278"/>
      <c r="AW93" s="278"/>
      <c r="AX93" s="278"/>
      <c r="AY93" s="278"/>
      <c r="AZ93" s="278"/>
      <c r="BA93" s="278"/>
      <c r="BB93" s="278"/>
      <c r="BC93" s="278"/>
      <c r="BD93" s="278"/>
    </row>
    <row r="94" spans="1:56">
      <c r="A94" s="973"/>
      <c r="B94" s="974"/>
      <c r="C94" s="974"/>
      <c r="D94" s="974"/>
      <c r="E94" s="974"/>
      <c r="F94" s="974"/>
      <c r="G94" s="974"/>
      <c r="H94" s="974"/>
      <c r="I94" s="906"/>
      <c r="J94" s="37">
        <f>SUMIF(I7:I88,"=ремонт покрытия проезжей части",J8:J89)</f>
        <v>320121.3342707734</v>
      </c>
      <c r="K94" s="396" t="s">
        <v>32</v>
      </c>
      <c r="L94" s="896"/>
      <c r="M94" s="419"/>
      <c r="N94" s="396"/>
      <c r="O94" s="906"/>
      <c r="P94" s="37">
        <f>SUMIF(O7:O88,"=ремонт покрытия проезжей части",P8:P89)</f>
        <v>283774.575203188</v>
      </c>
      <c r="Q94" s="396" t="s">
        <v>32</v>
      </c>
      <c r="R94" s="896"/>
      <c r="S94" s="396"/>
      <c r="T94" s="396"/>
      <c r="U94" s="906"/>
      <c r="V94" s="37">
        <f>SUMIF(U7:U88,"=ремонт покрытия проезжей части",V8:V89)</f>
        <v>96596.858638743463</v>
      </c>
      <c r="W94" s="396" t="s">
        <v>32</v>
      </c>
      <c r="X94" s="896"/>
      <c r="Y94" s="396"/>
      <c r="Z94" s="396"/>
      <c r="AA94" s="906"/>
      <c r="AB94" s="37">
        <f>SUMIF(AA7:AA88,"=ремонт покрытия проезжей части",AB8:AB89)</f>
        <v>0</v>
      </c>
      <c r="AC94" s="396" t="s">
        <v>32</v>
      </c>
      <c r="AD94" s="896"/>
      <c r="AE94" s="396"/>
      <c r="AF94" s="396"/>
      <c r="AG94" s="906"/>
      <c r="AH94" s="37">
        <f>SUMIF(AG7:AG88,"=ремонт покрытия проезжей части",AH8:AH89)</f>
        <v>0</v>
      </c>
      <c r="AI94" s="396" t="s">
        <v>32</v>
      </c>
      <c r="AJ94" s="896"/>
      <c r="AK94" s="396"/>
      <c r="AL94" s="396"/>
      <c r="AM94" s="906"/>
      <c r="AN94" s="37">
        <f>SUMIF(AM7:AM88,"=ремонт покрытия проезжей части",AN8:AN89)</f>
        <v>0</v>
      </c>
      <c r="AO94" s="396" t="s">
        <v>32</v>
      </c>
      <c r="AP94" s="896"/>
      <c r="AQ94" s="634"/>
      <c r="AR94" s="606"/>
      <c r="AS94" s="394"/>
      <c r="AT94" s="393"/>
      <c r="AU94" s="395"/>
      <c r="AV94" s="278"/>
      <c r="AW94" s="278"/>
      <c r="AX94" s="278"/>
      <c r="AY94" s="278"/>
      <c r="AZ94" s="278"/>
      <c r="BA94" s="278"/>
      <c r="BB94" s="278"/>
      <c r="BC94" s="278"/>
      <c r="BD94" s="278"/>
    </row>
    <row r="95" spans="1:56" ht="20.25" customHeight="1">
      <c r="A95" s="973"/>
      <c r="B95" s="974"/>
      <c r="C95" s="974"/>
      <c r="D95" s="974"/>
      <c r="E95" s="974"/>
      <c r="F95" s="974"/>
      <c r="G95" s="974"/>
      <c r="H95" s="974"/>
      <c r="I95" s="906" t="s">
        <v>115</v>
      </c>
      <c r="J95" s="38">
        <f>SUMIF(I7:I88,"=кап. ремонт",J7:J88)</f>
        <v>29.437000000000005</v>
      </c>
      <c r="K95" s="396" t="s">
        <v>17</v>
      </c>
      <c r="L95" s="896">
        <f>SUMIF(I7:I88,"=кап. ремонт",L7:L88)+SUMIF(I7:I88,"=кап. ремонт",L8:L89)</f>
        <v>779692.23132000002</v>
      </c>
      <c r="M95" s="419"/>
      <c r="N95" s="396"/>
      <c r="O95" s="906" t="s">
        <v>115</v>
      </c>
      <c r="P95" s="38">
        <f>SUMIF(O7:O88,"=кап. ремонт",P7:P88)</f>
        <v>0</v>
      </c>
      <c r="Q95" s="396" t="s">
        <v>17</v>
      </c>
      <c r="R95" s="896">
        <f>SUMIF(O7:O88,"=кап. ремонт",R7:R88)+SUMIF(O7:O88,"=кап. ремонт",R8:R89)</f>
        <v>0</v>
      </c>
      <c r="S95" s="396"/>
      <c r="T95" s="396"/>
      <c r="U95" s="906" t="s">
        <v>115</v>
      </c>
      <c r="V95" s="38">
        <f>SUMIF(U7:U88,"=кап. ремонт",V7:V88)</f>
        <v>35.650000000000006</v>
      </c>
      <c r="W95" s="396" t="s">
        <v>17</v>
      </c>
      <c r="X95" s="896">
        <f>SUMIF(U7:U88,"=кап. ремонт",X7:X88)+SUMIF(U7:U88,"=кап. ремонт",X8:X89)</f>
        <v>879406.2</v>
      </c>
      <c r="Y95" s="396"/>
      <c r="Z95" s="396"/>
      <c r="AA95" s="906" t="s">
        <v>115</v>
      </c>
      <c r="AB95" s="38">
        <f>SUMIF(AA7:AA88,"=кап. ремонт",AB7:AB88)</f>
        <v>11.2</v>
      </c>
      <c r="AC95" s="396" t="s">
        <v>17</v>
      </c>
      <c r="AD95" s="896">
        <f>SUMIF(AA7:AA88,"=кап. ремонт",AD7:AD88)+SUMIF(AA7:AA88,"=кап. ремонт",AD8:AD89)</f>
        <v>326775.59999999998</v>
      </c>
      <c r="AE95" s="396"/>
      <c r="AF95" s="396"/>
      <c r="AG95" s="906" t="s">
        <v>115</v>
      </c>
      <c r="AH95" s="38">
        <f>SUMIF(AG7:AG88,"=кап. ремонт",AH7:AH88)</f>
        <v>18.529999999999998</v>
      </c>
      <c r="AI95" s="396" t="s">
        <v>17</v>
      </c>
      <c r="AJ95" s="896">
        <f>SUMIF(AG7:AG88,"=кап. ремонт",AJ7:AJ88)+SUMIF(AG7:AG88,"=кап. ремонт",AJ8:AJ89)</f>
        <v>1110000</v>
      </c>
      <c r="AK95" s="396"/>
      <c r="AL95" s="396"/>
      <c r="AM95" s="906" t="s">
        <v>115</v>
      </c>
      <c r="AN95" s="38">
        <f>SUMIF(AM7:AM88,"=кап. ремонт",AN7:AN88)</f>
        <v>2.8600000000000003</v>
      </c>
      <c r="AO95" s="396" t="s">
        <v>17</v>
      </c>
      <c r="AP95" s="896">
        <f>SUMIF(AM7:AM88,"=кап. ремонт",AP7:AP88)+SUMIF(AM7:AM88,"=кап. ремонт",AP8:AP89)</f>
        <v>174000</v>
      </c>
      <c r="AQ95" s="634"/>
      <c r="AR95" s="606"/>
      <c r="AS95" s="394"/>
      <c r="AT95" s="393"/>
      <c r="AU95" s="395"/>
      <c r="AV95" s="278"/>
      <c r="AW95" s="278"/>
      <c r="AX95" s="278"/>
      <c r="AY95" s="278"/>
      <c r="AZ95" s="278"/>
      <c r="BA95" s="278"/>
      <c r="BB95" s="278"/>
      <c r="BC95" s="278"/>
      <c r="BD95" s="278"/>
    </row>
    <row r="96" spans="1:56">
      <c r="A96" s="973"/>
      <c r="B96" s="974"/>
      <c r="C96" s="974"/>
      <c r="D96" s="974"/>
      <c r="E96" s="974"/>
      <c r="F96" s="974"/>
      <c r="G96" s="974"/>
      <c r="H96" s="974"/>
      <c r="I96" s="906"/>
      <c r="J96" s="37">
        <f>SUMIF(I7:I88,"=кап. ремонт",J8:J89)</f>
        <v>250573.21450189361</v>
      </c>
      <c r="K96" s="396" t="s">
        <v>32</v>
      </c>
      <c r="L96" s="896"/>
      <c r="M96" s="419"/>
      <c r="N96" s="396"/>
      <c r="O96" s="906"/>
      <c r="P96" s="37">
        <f>SUMIF(O7:O88,"=кап. ремонт",P8:P89)</f>
        <v>0</v>
      </c>
      <c r="Q96" s="396" t="s">
        <v>32</v>
      </c>
      <c r="R96" s="896"/>
      <c r="S96" s="396"/>
      <c r="T96" s="396"/>
      <c r="U96" s="906"/>
      <c r="V96" s="37">
        <f>SUMIF(U7:U88,"=кап. ремонт",V8:V89)</f>
        <v>239335.19641332194</v>
      </c>
      <c r="W96" s="396" t="s">
        <v>32</v>
      </c>
      <c r="X96" s="896"/>
      <c r="Y96" s="396"/>
      <c r="Z96" s="396"/>
      <c r="AA96" s="906"/>
      <c r="AB96" s="37">
        <f>SUMIF(AA7:AA88,"=кап. ремонт",AB8:AB89)</f>
        <v>80249.327497865073</v>
      </c>
      <c r="AC96" s="396" t="s">
        <v>32</v>
      </c>
      <c r="AD96" s="896"/>
      <c r="AE96" s="396"/>
      <c r="AF96" s="396"/>
      <c r="AG96" s="906"/>
      <c r="AH96" s="37">
        <f>SUMIF(AG7:AG88,"=кап. ремонт",AH8:AH89)</f>
        <v>137913.6383301827</v>
      </c>
      <c r="AI96" s="396" t="s">
        <v>32</v>
      </c>
      <c r="AJ96" s="896"/>
      <c r="AK96" s="396"/>
      <c r="AL96" s="396"/>
      <c r="AM96" s="906"/>
      <c r="AN96" s="37">
        <f>SUMIF(AM7:AM88,"=кап. ремонт",AN8:AN89)</f>
        <v>18150</v>
      </c>
      <c r="AO96" s="396" t="s">
        <v>32</v>
      </c>
      <c r="AP96" s="896"/>
      <c r="AQ96" s="634"/>
      <c r="AR96" s="606"/>
      <c r="AS96" s="394"/>
      <c r="AT96" s="393"/>
      <c r="AU96" s="395"/>
      <c r="AV96" s="278"/>
      <c r="AW96" s="278"/>
      <c r="AX96" s="278"/>
      <c r="AY96" s="278"/>
      <c r="AZ96" s="278"/>
      <c r="BA96" s="278"/>
      <c r="BB96" s="278"/>
      <c r="BC96" s="278"/>
      <c r="BD96" s="278"/>
    </row>
    <row r="97" spans="1:56">
      <c r="A97" s="973"/>
      <c r="B97" s="974"/>
      <c r="C97" s="974"/>
      <c r="D97" s="974"/>
      <c r="E97" s="974"/>
      <c r="F97" s="974"/>
      <c r="G97" s="974"/>
      <c r="H97" s="974"/>
      <c r="I97" s="906" t="s">
        <v>116</v>
      </c>
      <c r="J97" s="38">
        <f>SUMIF(I7:I88,"=реконструкция",J7:J88)</f>
        <v>0</v>
      </c>
      <c r="K97" s="396" t="s">
        <v>17</v>
      </c>
      <c r="L97" s="896">
        <f>SUMIF(I7:I88,"=реконструкция",L7:L88)+SUMIF(I7:I88,"=реконструкция",L8:L89)</f>
        <v>0</v>
      </c>
      <c r="M97" s="419"/>
      <c r="N97" s="396"/>
      <c r="O97" s="906" t="s">
        <v>116</v>
      </c>
      <c r="P97" s="38">
        <f>SUMIF(O7:O88,"=реконструкция",P7:P88)</f>
        <v>0</v>
      </c>
      <c r="Q97" s="396" t="s">
        <v>17</v>
      </c>
      <c r="R97" s="896">
        <f>SUMIF(O7:O88,"=реконструкция",R7:R88)+SUMIF(O7:O88,"=реконструкция",R8:R89)</f>
        <v>0</v>
      </c>
      <c r="S97" s="396"/>
      <c r="T97" s="396"/>
      <c r="U97" s="906" t="s">
        <v>116</v>
      </c>
      <c r="V97" s="38">
        <f>SUMIF(U7:U88,"=реконструкция",V7:V88)</f>
        <v>0</v>
      </c>
      <c r="W97" s="396" t="s">
        <v>17</v>
      </c>
      <c r="X97" s="896">
        <f>SUMIF(U7:U88,"=реконструкция",X7:X88)+SUMIF(U7:U88,"=реконструкция",X8:X89)</f>
        <v>0</v>
      </c>
      <c r="Y97" s="396"/>
      <c r="Z97" s="396"/>
      <c r="AA97" s="906" t="s">
        <v>116</v>
      </c>
      <c r="AB97" s="38">
        <f>SUMIF(AA7:AA88,"=реконструкция",AB7:AB88)</f>
        <v>0</v>
      </c>
      <c r="AC97" s="396" t="s">
        <v>17</v>
      </c>
      <c r="AD97" s="896">
        <f>SUMIF(AA7:AA88,"=реконструкция",AD7:AD88)+SUMIF(AA7:AA88,"=реконструкция",AD8:AD89)</f>
        <v>0</v>
      </c>
      <c r="AE97" s="396"/>
      <c r="AF97" s="396"/>
      <c r="AG97" s="906" t="s">
        <v>116</v>
      </c>
      <c r="AH97" s="38">
        <f>SUMIF(AG7:AG88,"=реконструкция",AH7:AH88)</f>
        <v>0</v>
      </c>
      <c r="AI97" s="396" t="s">
        <v>17</v>
      </c>
      <c r="AJ97" s="896">
        <f>SUMIF(AG7:AG88,"=реконструкция",AJ7:AJ88)+SUMIF(AG7:AG88,"=реконструкция",AJ8:AJ89)</f>
        <v>0</v>
      </c>
      <c r="AK97" s="396"/>
      <c r="AL97" s="396"/>
      <c r="AM97" s="906" t="s">
        <v>116</v>
      </c>
      <c r="AN97" s="38">
        <f>SUMIF(AM7:AM88,"=реконструкция",AN7:AN88)</f>
        <v>0</v>
      </c>
      <c r="AO97" s="396" t="s">
        <v>17</v>
      </c>
      <c r="AP97" s="896">
        <f>SUMIF(AM7:AM88,"=реконструкция",AP7:AP88)+SUMIF(AM7:AM88,"=реконструкция",AP8:AP89)</f>
        <v>0</v>
      </c>
      <c r="AQ97" s="634"/>
      <c r="AR97" s="606"/>
      <c r="AS97" s="394"/>
      <c r="AT97" s="393"/>
      <c r="AU97" s="395"/>
      <c r="AV97" s="278"/>
      <c r="AW97" s="278"/>
      <c r="AX97" s="278"/>
      <c r="AY97" s="278"/>
      <c r="AZ97" s="278"/>
      <c r="BA97" s="278"/>
      <c r="BB97" s="278"/>
      <c r="BC97" s="278"/>
      <c r="BD97" s="278"/>
    </row>
    <row r="98" spans="1:56">
      <c r="A98" s="973"/>
      <c r="B98" s="974"/>
      <c r="C98" s="974"/>
      <c r="D98" s="974"/>
      <c r="E98" s="974"/>
      <c r="F98" s="974"/>
      <c r="G98" s="974"/>
      <c r="H98" s="974"/>
      <c r="I98" s="906"/>
      <c r="J98" s="38">
        <f>SUMIF(I7:I88,"=реконструкция",J8:J89)</f>
        <v>0</v>
      </c>
      <c r="K98" s="396" t="s">
        <v>32</v>
      </c>
      <c r="L98" s="896"/>
      <c r="M98" s="419"/>
      <c r="N98" s="396"/>
      <c r="O98" s="906"/>
      <c r="P98" s="38">
        <f>SUMIF(O7:O88,"=реконструкция",P8:P89)</f>
        <v>0</v>
      </c>
      <c r="Q98" s="396" t="s">
        <v>32</v>
      </c>
      <c r="R98" s="896"/>
      <c r="S98" s="396"/>
      <c r="T98" s="396"/>
      <c r="U98" s="906"/>
      <c r="V98" s="38">
        <f>SUMIF(U7:U88,"=реконструкция",V8:V89)</f>
        <v>0</v>
      </c>
      <c r="W98" s="396" t="s">
        <v>32</v>
      </c>
      <c r="X98" s="896"/>
      <c r="Y98" s="396"/>
      <c r="Z98" s="396"/>
      <c r="AA98" s="906"/>
      <c r="AB98" s="38">
        <f>SUMIF(AA7:AA88,"=реконструкция",AB8:AB89)</f>
        <v>0</v>
      </c>
      <c r="AC98" s="396" t="s">
        <v>32</v>
      </c>
      <c r="AD98" s="896"/>
      <c r="AE98" s="396"/>
      <c r="AF98" s="396"/>
      <c r="AG98" s="906"/>
      <c r="AH98" s="38">
        <f>SUMIF(AG7:AG88,"=реконструкция",AH8:AH89)</f>
        <v>0</v>
      </c>
      <c r="AI98" s="396" t="s">
        <v>32</v>
      </c>
      <c r="AJ98" s="896"/>
      <c r="AK98" s="396"/>
      <c r="AL98" s="396"/>
      <c r="AM98" s="906"/>
      <c r="AN98" s="38">
        <f>SUMIF(AM7:AM88,"=реконструкция",AN8:AN89)</f>
        <v>0</v>
      </c>
      <c r="AO98" s="396" t="s">
        <v>32</v>
      </c>
      <c r="AP98" s="896"/>
      <c r="AQ98" s="634"/>
      <c r="AR98" s="606"/>
      <c r="AS98" s="394"/>
      <c r="AT98" s="393"/>
      <c r="AU98" s="395"/>
      <c r="AV98" s="278"/>
      <c r="AW98" s="278"/>
      <c r="AX98" s="278"/>
      <c r="AY98" s="278"/>
      <c r="AZ98" s="278"/>
      <c r="BA98" s="278"/>
      <c r="BB98" s="278"/>
      <c r="BC98" s="278"/>
      <c r="BD98" s="278"/>
    </row>
    <row r="99" spans="1:56">
      <c r="A99" s="973"/>
      <c r="B99" s="974"/>
      <c r="C99" s="974"/>
      <c r="D99" s="974"/>
      <c r="E99" s="974"/>
      <c r="F99" s="974"/>
      <c r="G99" s="974"/>
      <c r="H99" s="974"/>
      <c r="I99" s="906" t="s">
        <v>117</v>
      </c>
      <c r="J99" s="38">
        <f>SUMIF(I7:I88,"=строительство",J7:J88)</f>
        <v>0</v>
      </c>
      <c r="K99" s="396" t="s">
        <v>17</v>
      </c>
      <c r="L99" s="896">
        <f>SUMIF(I7:I88,"=строительство",L7:L88)+SUMIF(I7:I88,"=строительство",L8:L89)</f>
        <v>0</v>
      </c>
      <c r="M99" s="419"/>
      <c r="N99" s="396"/>
      <c r="O99" s="906" t="s">
        <v>117</v>
      </c>
      <c r="P99" s="38">
        <f>SUMIF(O7:O88,"=строительство",P7:P88)</f>
        <v>0</v>
      </c>
      <c r="Q99" s="396" t="s">
        <v>17</v>
      </c>
      <c r="R99" s="896">
        <f>SUMIF(O7:O88,"=строительство",R7:R88)+SUMIF(O7:O88,"=строительство",R8:R89)</f>
        <v>0</v>
      </c>
      <c r="S99" s="396"/>
      <c r="T99" s="396"/>
      <c r="U99" s="906" t="s">
        <v>117</v>
      </c>
      <c r="V99" s="38">
        <f>SUMIF(U7:U88,"=строительство",V7:V88)</f>
        <v>0</v>
      </c>
      <c r="W99" s="396" t="s">
        <v>17</v>
      </c>
      <c r="X99" s="896">
        <f>SUMIF(U7:U88,"=строительство",X7:X88)+SUMIF(U7:U88,"=строительство",X8:X89)</f>
        <v>0</v>
      </c>
      <c r="Y99" s="396"/>
      <c r="Z99" s="396"/>
      <c r="AA99" s="906" t="s">
        <v>117</v>
      </c>
      <c r="AB99" s="38">
        <f>SUMIF(AA7:AA88,"=строительство",AB7:AB88)</f>
        <v>0</v>
      </c>
      <c r="AC99" s="396" t="s">
        <v>17</v>
      </c>
      <c r="AD99" s="896">
        <f>SUMIF(AA7:AA88,"=строительство",AD7:AD88)+SUMIF(AA7:AA88,"=строительство",AD8:AD89)</f>
        <v>0</v>
      </c>
      <c r="AE99" s="396"/>
      <c r="AF99" s="396"/>
      <c r="AG99" s="906" t="s">
        <v>117</v>
      </c>
      <c r="AH99" s="38">
        <f>SUMIF(AG7:AG88,"=строительство",AH7:AH88)</f>
        <v>0</v>
      </c>
      <c r="AI99" s="396" t="s">
        <v>17</v>
      </c>
      <c r="AJ99" s="896">
        <f>SUMIF(AG7:AG88,"=строительство",AJ7:AJ88)+SUMIF(AG7:AG88,"=строительство",AJ8:AJ89)</f>
        <v>0</v>
      </c>
      <c r="AK99" s="396"/>
      <c r="AL99" s="396"/>
      <c r="AM99" s="906" t="s">
        <v>117</v>
      </c>
      <c r="AN99" s="38">
        <f>SUMIF(AM7:AM88,"=строительство",AN7:AN88)</f>
        <v>0</v>
      </c>
      <c r="AO99" s="396" t="s">
        <v>17</v>
      </c>
      <c r="AP99" s="896">
        <f>SUMIF(AM7:AM88,"=строительство",AP7:AP88)+SUMIF(AM7:AM88,"=строительство",AP8:AP89)</f>
        <v>0</v>
      </c>
      <c r="AQ99" s="634"/>
      <c r="AR99" s="606"/>
      <c r="AS99" s="394"/>
      <c r="AT99" s="393"/>
      <c r="AU99" s="395"/>
      <c r="AV99" s="278"/>
      <c r="AW99" s="278"/>
      <c r="AX99" s="278"/>
      <c r="AY99" s="278"/>
      <c r="AZ99" s="278"/>
      <c r="BA99" s="278"/>
      <c r="BB99" s="278"/>
      <c r="BC99" s="278"/>
      <c r="BD99" s="278"/>
    </row>
    <row r="100" spans="1:56">
      <c r="A100" s="973"/>
      <c r="B100" s="974"/>
      <c r="C100" s="974"/>
      <c r="D100" s="974"/>
      <c r="E100" s="974"/>
      <c r="F100" s="974"/>
      <c r="G100" s="974"/>
      <c r="H100" s="974"/>
      <c r="I100" s="906"/>
      <c r="J100" s="38">
        <f>SUMIF(I7:I88,"=строительство",J8:J89)</f>
        <v>0</v>
      </c>
      <c r="K100" s="396" t="s">
        <v>32</v>
      </c>
      <c r="L100" s="896"/>
      <c r="M100" s="419"/>
      <c r="N100" s="396"/>
      <c r="O100" s="906"/>
      <c r="P100" s="38">
        <f>SUMIF(O7:O88,"=строительство",P8:P89)</f>
        <v>0</v>
      </c>
      <c r="Q100" s="396" t="s">
        <v>32</v>
      </c>
      <c r="R100" s="896"/>
      <c r="S100" s="396"/>
      <c r="T100" s="396"/>
      <c r="U100" s="906"/>
      <c r="V100" s="38">
        <f>SUMIF(U7:U88,"=строительство",V8:V89)</f>
        <v>0</v>
      </c>
      <c r="W100" s="396" t="s">
        <v>32</v>
      </c>
      <c r="X100" s="896"/>
      <c r="Y100" s="396"/>
      <c r="Z100" s="396"/>
      <c r="AA100" s="906"/>
      <c r="AB100" s="38">
        <f>SUMIF(AA7:AA88,"=строительство",AB8:AB89)</f>
        <v>0</v>
      </c>
      <c r="AC100" s="396" t="s">
        <v>32</v>
      </c>
      <c r="AD100" s="896"/>
      <c r="AE100" s="396"/>
      <c r="AF100" s="396"/>
      <c r="AG100" s="906"/>
      <c r="AH100" s="38">
        <f>SUMIF(AG7:AG88,"=строительство",AH8:AH89)</f>
        <v>0</v>
      </c>
      <c r="AI100" s="396" t="s">
        <v>32</v>
      </c>
      <c r="AJ100" s="896"/>
      <c r="AK100" s="396"/>
      <c r="AL100" s="396"/>
      <c r="AM100" s="906"/>
      <c r="AN100" s="38">
        <f>SUMIF(AM7:AM88,"=строительство",AN8:AN89)</f>
        <v>0</v>
      </c>
      <c r="AO100" s="396" t="s">
        <v>32</v>
      </c>
      <c r="AP100" s="896"/>
      <c r="AQ100" s="634"/>
      <c r="AR100" s="606"/>
      <c r="AS100" s="394"/>
      <c r="AT100" s="393"/>
      <c r="AU100" s="395"/>
      <c r="AV100" s="278"/>
      <c r="AW100" s="278"/>
      <c r="AX100" s="278"/>
      <c r="AY100" s="278"/>
      <c r="AZ100" s="278"/>
      <c r="BA100" s="278"/>
      <c r="BB100" s="278"/>
      <c r="BC100" s="278"/>
      <c r="BD100" s="278"/>
    </row>
    <row r="101" spans="1:56" ht="20.25" customHeight="1">
      <c r="A101" s="973"/>
      <c r="B101" s="974"/>
      <c r="C101" s="974"/>
      <c r="D101" s="974"/>
      <c r="E101" s="974"/>
      <c r="F101" s="974"/>
      <c r="G101" s="974"/>
      <c r="H101" s="974"/>
      <c r="I101" s="906" t="s">
        <v>462</v>
      </c>
      <c r="J101" s="38">
        <f>SUMIF(I7:I88,"=нанесение разметки",J7:J88)</f>
        <v>0</v>
      </c>
      <c r="K101" s="396" t="s">
        <v>32</v>
      </c>
      <c r="L101" s="896">
        <f>SUMIF(I7:I88,"=нанесение разметки",L7:L88)</f>
        <v>0</v>
      </c>
      <c r="M101" s="419"/>
      <c r="N101" s="396"/>
      <c r="O101" s="906" t="s">
        <v>462</v>
      </c>
      <c r="P101" s="38">
        <f>SUMIF(O7:O88,"=нанесение разметки",P7:P88)</f>
        <v>0</v>
      </c>
      <c r="Q101" s="396" t="s">
        <v>32</v>
      </c>
      <c r="R101" s="896">
        <f>SUMIF(O7:O88,"=нанесение разметки",R7:R88)</f>
        <v>0</v>
      </c>
      <c r="S101" s="396"/>
      <c r="T101" s="396"/>
      <c r="U101" s="906" t="s">
        <v>462</v>
      </c>
      <c r="V101" s="38">
        <f>SUMIF(U7:U88,"=нанесение разметки",V7:V88)</f>
        <v>0</v>
      </c>
      <c r="W101" s="396" t="s">
        <v>32</v>
      </c>
      <c r="X101" s="896">
        <f>SUMIF(U7:U88,"=нанесение разметки",X7:X88)</f>
        <v>0</v>
      </c>
      <c r="Y101" s="396"/>
      <c r="Z101" s="396"/>
      <c r="AA101" s="906" t="s">
        <v>462</v>
      </c>
      <c r="AB101" s="38">
        <f>SUMIF(AA7:AA88,"=нанесение разметки",AB7:AB88)</f>
        <v>0</v>
      </c>
      <c r="AC101" s="396" t="s">
        <v>32</v>
      </c>
      <c r="AD101" s="896">
        <f>SUMIF(AA7:AA88,"=нанесение разметки",AD7:AD88)</f>
        <v>0</v>
      </c>
      <c r="AE101" s="396"/>
      <c r="AF101" s="396"/>
      <c r="AG101" s="906" t="s">
        <v>462</v>
      </c>
      <c r="AH101" s="38">
        <f>SUMIF(AG7:AG88,"=нанесение разметки",AH7:AH88)</f>
        <v>0</v>
      </c>
      <c r="AI101" s="396" t="s">
        <v>32</v>
      </c>
      <c r="AJ101" s="896">
        <f>SUMIF(AG7:AG88,"=нанесение разметки",AJ7:AJ88)</f>
        <v>0</v>
      </c>
      <c r="AK101" s="396"/>
      <c r="AL101" s="396"/>
      <c r="AM101" s="906" t="s">
        <v>462</v>
      </c>
      <c r="AN101" s="38">
        <f>SUMIF(AM7:AM88,"=нанесение разметки",AN7:AN88)</f>
        <v>0</v>
      </c>
      <c r="AO101" s="396" t="s">
        <v>32</v>
      </c>
      <c r="AP101" s="896">
        <f>SUMIF(AM7:AM88,"=нанесение разметки",AP7:AP88)</f>
        <v>0</v>
      </c>
      <c r="AQ101" s="634"/>
      <c r="AR101" s="606"/>
      <c r="AS101" s="394"/>
      <c r="AT101" s="393"/>
      <c r="AU101" s="395"/>
      <c r="AV101" s="278"/>
      <c r="AW101" s="278"/>
      <c r="AX101" s="278"/>
      <c r="AY101" s="278"/>
      <c r="AZ101" s="278"/>
      <c r="BA101" s="278"/>
      <c r="BB101" s="278"/>
      <c r="BC101" s="278"/>
      <c r="BD101" s="278"/>
    </row>
    <row r="102" spans="1:56">
      <c r="A102" s="973"/>
      <c r="B102" s="974"/>
      <c r="C102" s="974"/>
      <c r="D102" s="974"/>
      <c r="E102" s="974"/>
      <c r="F102" s="974"/>
      <c r="G102" s="974"/>
      <c r="H102" s="974"/>
      <c r="I102" s="906"/>
      <c r="J102" s="38">
        <f>SUMIF(I7:I88,"=нанесение разметки",J8:J89)</f>
        <v>0</v>
      </c>
      <c r="K102" s="396" t="s">
        <v>17</v>
      </c>
      <c r="L102" s="896"/>
      <c r="M102" s="419"/>
      <c r="N102" s="396"/>
      <c r="O102" s="906"/>
      <c r="P102" s="38">
        <f>SUMIF(O7:O88,"=нанесение разметки",P8:P89)</f>
        <v>0</v>
      </c>
      <c r="Q102" s="396" t="s">
        <v>17</v>
      </c>
      <c r="R102" s="896"/>
      <c r="S102" s="396"/>
      <c r="T102" s="396"/>
      <c r="U102" s="906"/>
      <c r="V102" s="38">
        <f>SUMIF(U7:U88,"=нанесение разметки",V8:V89)</f>
        <v>0</v>
      </c>
      <c r="W102" s="396" t="s">
        <v>17</v>
      </c>
      <c r="X102" s="896"/>
      <c r="Y102" s="396"/>
      <c r="Z102" s="396"/>
      <c r="AA102" s="906"/>
      <c r="AB102" s="38">
        <f>SUMIF(AA7:AA88,"=нанесение разметки",AB8:AB89)</f>
        <v>0</v>
      </c>
      <c r="AC102" s="396" t="s">
        <v>17</v>
      </c>
      <c r="AD102" s="896"/>
      <c r="AE102" s="396"/>
      <c r="AF102" s="396"/>
      <c r="AG102" s="906"/>
      <c r="AH102" s="38">
        <f>SUMIF(AG7:AG88,"=нанесение разметки",AH8:AH89)</f>
        <v>0</v>
      </c>
      <c r="AI102" s="396" t="s">
        <v>17</v>
      </c>
      <c r="AJ102" s="896"/>
      <c r="AK102" s="396"/>
      <c r="AL102" s="396"/>
      <c r="AM102" s="906"/>
      <c r="AN102" s="38">
        <f>SUMIF(AM7:AM88,"=нанесение разметки",AN8:AN89)</f>
        <v>0</v>
      </c>
      <c r="AO102" s="396" t="s">
        <v>17</v>
      </c>
      <c r="AP102" s="896"/>
      <c r="AQ102" s="634"/>
      <c r="AR102" s="606"/>
      <c r="AS102" s="394"/>
      <c r="AT102" s="393"/>
      <c r="AU102" s="395"/>
      <c r="AV102" s="278"/>
      <c r="AW102" s="278"/>
      <c r="AX102" s="278"/>
      <c r="AY102" s="278"/>
      <c r="AZ102" s="278"/>
      <c r="BA102" s="278"/>
      <c r="BB102" s="278"/>
      <c r="BC102" s="278"/>
      <c r="BD102" s="278"/>
    </row>
    <row r="103" spans="1:56" ht="42.75">
      <c r="A103" s="973"/>
      <c r="B103" s="974"/>
      <c r="C103" s="974"/>
      <c r="D103" s="974"/>
      <c r="E103" s="974"/>
      <c r="F103" s="974"/>
      <c r="G103" s="974"/>
      <c r="H103" s="974"/>
      <c r="I103" s="397" t="s">
        <v>120</v>
      </c>
      <c r="J103" s="38">
        <f>SUMIF(I7:I88,"=устройство светофорных объектов",J7:J88)</f>
        <v>0</v>
      </c>
      <c r="K103" s="396" t="s">
        <v>118</v>
      </c>
      <c r="L103" s="420">
        <f>SUMIF(I7:I88,"=устройство светофорных объектов",L7:L88)</f>
        <v>0</v>
      </c>
      <c r="M103" s="419"/>
      <c r="N103" s="396"/>
      <c r="O103" s="397" t="s">
        <v>120</v>
      </c>
      <c r="P103" s="38">
        <f>SUMIF(O7:O88,"=устройство светофорных объектов",P7:P88)</f>
        <v>0</v>
      </c>
      <c r="Q103" s="396" t="s">
        <v>118</v>
      </c>
      <c r="R103" s="420">
        <f>SUMIF(O7:O88,"=устройство светофорных объектов",R7:R88)</f>
        <v>0</v>
      </c>
      <c r="S103" s="396"/>
      <c r="T103" s="396"/>
      <c r="U103" s="397" t="s">
        <v>120</v>
      </c>
      <c r="V103" s="38">
        <f>SUMIF(U7:U88,"=устройство светофорных объектов",V7:V88)</f>
        <v>0</v>
      </c>
      <c r="W103" s="396" t="s">
        <v>118</v>
      </c>
      <c r="X103" s="420">
        <f>SUMIF(U7:U88,"=устройство светофорных объектов",X7:X88)</f>
        <v>0</v>
      </c>
      <c r="Y103" s="396"/>
      <c r="Z103" s="396"/>
      <c r="AA103" s="397" t="s">
        <v>120</v>
      </c>
      <c r="AB103" s="38">
        <f>SUMIF(AA7:AA88,"=устройство светофорных объектов",AB7:AB88)</f>
        <v>0</v>
      </c>
      <c r="AC103" s="396" t="s">
        <v>118</v>
      </c>
      <c r="AD103" s="420">
        <f>SUMIF(AA7:AA88,"=устройство светофорных объектов",AD7:AD88)</f>
        <v>0</v>
      </c>
      <c r="AE103" s="396"/>
      <c r="AF103" s="396"/>
      <c r="AG103" s="397" t="s">
        <v>120</v>
      </c>
      <c r="AH103" s="38">
        <f>SUMIF(AG7:AG88,"=устройство светофорных объектов",AH7:AH88)</f>
        <v>0</v>
      </c>
      <c r="AI103" s="396" t="s">
        <v>118</v>
      </c>
      <c r="AJ103" s="420">
        <f>SUMIF(AG7:AG88,"=устройство светофорных объектов",AJ7:AJ88)</f>
        <v>0</v>
      </c>
      <c r="AK103" s="396"/>
      <c r="AL103" s="396"/>
      <c r="AM103" s="397" t="s">
        <v>120</v>
      </c>
      <c r="AN103" s="38">
        <f>SUMIF(AM7:AM88,"=устройство светофорных объектов",AN7:AN88)</f>
        <v>0</v>
      </c>
      <c r="AO103" s="396" t="s">
        <v>118</v>
      </c>
      <c r="AP103" s="420">
        <f>SUMIF(AM7:AM88,"=устройство светофорных объектов",AP7:AP88)</f>
        <v>0</v>
      </c>
      <c r="AQ103" s="634"/>
      <c r="AR103" s="606"/>
      <c r="AS103" s="394"/>
      <c r="AT103" s="393"/>
      <c r="AU103" s="395"/>
      <c r="AV103" s="278"/>
      <c r="AW103" s="278"/>
      <c r="AX103" s="278"/>
      <c r="AY103" s="278"/>
      <c r="AZ103" s="278"/>
      <c r="BA103" s="278"/>
      <c r="BB103" s="278"/>
      <c r="BC103" s="278"/>
      <c r="BD103" s="278"/>
    </row>
    <row r="104" spans="1:56" ht="28.5">
      <c r="A104" s="973"/>
      <c r="B104" s="974"/>
      <c r="C104" s="974"/>
      <c r="D104" s="974"/>
      <c r="E104" s="974"/>
      <c r="F104" s="974"/>
      <c r="G104" s="974"/>
      <c r="H104" s="974"/>
      <c r="I104" s="397" t="s">
        <v>93</v>
      </c>
      <c r="J104" s="38">
        <f>SUMIF(I7:I88,"=установка дорожных знаков",J7:J88)</f>
        <v>2</v>
      </c>
      <c r="K104" s="396" t="s">
        <v>118</v>
      </c>
      <c r="L104" s="420">
        <f>SUMIF(I7:I88,"=установка дорожных знаков",L7:L88)</f>
        <v>157.0198</v>
      </c>
      <c r="M104" s="419"/>
      <c r="N104" s="396"/>
      <c r="O104" s="397" t="s">
        <v>93</v>
      </c>
      <c r="P104" s="38">
        <f>SUMIF(O7:O88,"=установка дорожных знаков",P7:P88)</f>
        <v>0</v>
      </c>
      <c r="Q104" s="396" t="s">
        <v>118</v>
      </c>
      <c r="R104" s="420">
        <f>SUMIF(O7:O88,"=установка дорожных знаков",R7:R88)</f>
        <v>0</v>
      </c>
      <c r="S104" s="396"/>
      <c r="T104" s="396"/>
      <c r="U104" s="397" t="s">
        <v>93</v>
      </c>
      <c r="V104" s="38">
        <f>SUMIF(U7:U88,"=установка дорожных знаков",V7:V88)</f>
        <v>0</v>
      </c>
      <c r="W104" s="396" t="s">
        <v>118</v>
      </c>
      <c r="X104" s="420">
        <f>SUMIF(U7:U88,"=установка дорожных знаков",X7:X88)</f>
        <v>0</v>
      </c>
      <c r="Y104" s="396"/>
      <c r="Z104" s="396"/>
      <c r="AA104" s="397" t="s">
        <v>93</v>
      </c>
      <c r="AB104" s="38">
        <f>SUMIF(AA7:AA88,"=установка дорожных знаков",AB7:AB88)</f>
        <v>0</v>
      </c>
      <c r="AC104" s="396" t="s">
        <v>118</v>
      </c>
      <c r="AD104" s="420">
        <f>SUMIF(AA7:AA88,"=установка дорожных знаков",AD7:AD88)</f>
        <v>0</v>
      </c>
      <c r="AE104" s="396"/>
      <c r="AF104" s="396"/>
      <c r="AG104" s="397" t="s">
        <v>93</v>
      </c>
      <c r="AH104" s="38">
        <f>SUMIF(AG7:AG88,"=установка дорожных знаков",AH7:AH88)</f>
        <v>0</v>
      </c>
      <c r="AI104" s="396" t="s">
        <v>118</v>
      </c>
      <c r="AJ104" s="420">
        <f>SUMIF(AG7:AG88,"=установка дорожных знаков",AJ7:AJ88)</f>
        <v>0</v>
      </c>
      <c r="AK104" s="396"/>
      <c r="AL104" s="396"/>
      <c r="AM104" s="397" t="s">
        <v>93</v>
      </c>
      <c r="AN104" s="38">
        <f>SUMIF(AM7:AM88,"=установка дорожных знаков",AN7:AN88)</f>
        <v>0</v>
      </c>
      <c r="AO104" s="396" t="s">
        <v>118</v>
      </c>
      <c r="AP104" s="420">
        <f>SUMIF(AM7:AM88,"=установка дорожных знаков",AP7:AP88)</f>
        <v>0</v>
      </c>
      <c r="AQ104" s="634"/>
      <c r="AR104" s="606"/>
      <c r="AS104" s="394"/>
      <c r="AT104" s="393"/>
      <c r="AU104" s="395"/>
      <c r="AV104" s="278"/>
      <c r="AW104" s="278"/>
      <c r="AX104" s="278"/>
      <c r="AY104" s="278"/>
      <c r="AZ104" s="278"/>
      <c r="BA104" s="278"/>
      <c r="BB104" s="278"/>
      <c r="BC104" s="278"/>
      <c r="BD104" s="278"/>
    </row>
    <row r="105" spans="1:56" ht="42.75">
      <c r="A105" s="973"/>
      <c r="B105" s="974"/>
      <c r="C105" s="974"/>
      <c r="D105" s="974"/>
      <c r="E105" s="974"/>
      <c r="F105" s="974"/>
      <c r="G105" s="974"/>
      <c r="H105" s="974"/>
      <c r="I105" s="397" t="s">
        <v>463</v>
      </c>
      <c r="J105" s="38">
        <f>SUMIF(I7:I88,"=установка барьерного ограждения",J7:J88)</f>
        <v>2738</v>
      </c>
      <c r="K105" s="396" t="s">
        <v>2681</v>
      </c>
      <c r="L105" s="420">
        <f>SUMIF(I7:I88,"=установка барьерного ограждения",L7:L88)</f>
        <v>9334.1256699999994</v>
      </c>
      <c r="M105" s="419"/>
      <c r="N105" s="396"/>
      <c r="O105" s="397" t="s">
        <v>463</v>
      </c>
      <c r="P105" s="38">
        <f>SUMIF(O7:O88,"=установка барьерного ограждения",P7:P88)</f>
        <v>0</v>
      </c>
      <c r="Q105" s="396" t="s">
        <v>2681</v>
      </c>
      <c r="R105" s="420">
        <f>SUMIF(O7:O88,"=установка барьерного ограждения",R7:R88)</f>
        <v>0</v>
      </c>
      <c r="S105" s="396"/>
      <c r="T105" s="396"/>
      <c r="U105" s="397" t="s">
        <v>463</v>
      </c>
      <c r="V105" s="38">
        <f>SUMIF(U7:U88,"=установка барьерного ограждения",V7:V88)</f>
        <v>0</v>
      </c>
      <c r="W105" s="396" t="s">
        <v>2681</v>
      </c>
      <c r="X105" s="420">
        <f>SUMIF(U7:U88,"=установка барьерного ограждения",X7:X88)</f>
        <v>0</v>
      </c>
      <c r="Y105" s="396"/>
      <c r="Z105" s="396"/>
      <c r="AA105" s="397" t="s">
        <v>463</v>
      </c>
      <c r="AB105" s="38">
        <f>SUMIF(AA7:AA88,"=установка барьерного ограждения",AB7:AB88)</f>
        <v>0</v>
      </c>
      <c r="AC105" s="396" t="s">
        <v>2681</v>
      </c>
      <c r="AD105" s="420">
        <f>SUMIF(AA7:AA88,"=установка барьерного ограждения",AD7:AD88)</f>
        <v>0</v>
      </c>
      <c r="AE105" s="396"/>
      <c r="AF105" s="396"/>
      <c r="AG105" s="397" t="s">
        <v>463</v>
      </c>
      <c r="AH105" s="38">
        <f>SUMIF(AG7:AG88,"=установка барьерного ограждения",AH7:AH88)</f>
        <v>0</v>
      </c>
      <c r="AI105" s="396" t="s">
        <v>2681</v>
      </c>
      <c r="AJ105" s="420">
        <f>SUMIF(AG7:AG88,"=установка барьерного ограждения",AJ7:AJ88)</f>
        <v>0</v>
      </c>
      <c r="AK105" s="396"/>
      <c r="AL105" s="396"/>
      <c r="AM105" s="397" t="s">
        <v>463</v>
      </c>
      <c r="AN105" s="38">
        <f>SUMIF(AM7:AM88,"=установка барьерного ограждения",AN7:AN88)</f>
        <v>0</v>
      </c>
      <c r="AO105" s="396" t="s">
        <v>2681</v>
      </c>
      <c r="AP105" s="420">
        <f>SUMIF(AM7:AM88,"=установка барьерного ограждения",AP7:AP88)</f>
        <v>0</v>
      </c>
      <c r="AQ105" s="634"/>
      <c r="AR105" s="606"/>
      <c r="AS105" s="394"/>
      <c r="AT105" s="393"/>
      <c r="AU105" s="395"/>
      <c r="AV105" s="278"/>
      <c r="AW105" s="278"/>
      <c r="AX105" s="278"/>
      <c r="AY105" s="278"/>
      <c r="AZ105" s="278"/>
      <c r="BA105" s="278"/>
      <c r="BB105" s="278"/>
      <c r="BC105" s="278"/>
      <c r="BD105" s="278"/>
    </row>
    <row r="106" spans="1:56">
      <c r="A106" s="973"/>
      <c r="B106" s="974"/>
      <c r="C106" s="974"/>
      <c r="D106" s="974"/>
      <c r="E106" s="974"/>
      <c r="F106" s="974"/>
      <c r="G106" s="974"/>
      <c r="H106" s="974"/>
      <c r="I106" s="397" t="s">
        <v>464</v>
      </c>
      <c r="J106" s="38">
        <f>SUMIF(I7:I88,"=ремонт тротуаров",J7:J88)</f>
        <v>0</v>
      </c>
      <c r="K106" s="396" t="s">
        <v>32</v>
      </c>
      <c r="L106" s="420">
        <f>SUMIF(I7:I88,"=ремонт тротуаров",L7:L88)</f>
        <v>0</v>
      </c>
      <c r="M106" s="419"/>
      <c r="N106" s="396"/>
      <c r="O106" s="397" t="s">
        <v>464</v>
      </c>
      <c r="P106" s="38">
        <f>SUMIF(O7:O88,"=ремонт тротуаров",P7:P88)</f>
        <v>0</v>
      </c>
      <c r="Q106" s="396" t="s">
        <v>32</v>
      </c>
      <c r="R106" s="420">
        <f>SUMIF(O7:O88,"=ремонт тротуаров",R7:R88)</f>
        <v>0</v>
      </c>
      <c r="S106" s="396"/>
      <c r="T106" s="396"/>
      <c r="U106" s="397" t="s">
        <v>464</v>
      </c>
      <c r="V106" s="38">
        <f>SUMIF(U7:U88,"=ремонт тротуаров",V7:V88)</f>
        <v>0</v>
      </c>
      <c r="W106" s="396" t="s">
        <v>32</v>
      </c>
      <c r="X106" s="420">
        <f>SUMIF(U7:U88,"=ремонт тротуаров",X7:X88)</f>
        <v>0</v>
      </c>
      <c r="Y106" s="396"/>
      <c r="Z106" s="396"/>
      <c r="AA106" s="397" t="s">
        <v>464</v>
      </c>
      <c r="AB106" s="38">
        <f>SUMIF(AA7:AA88,"=ремонт тротуаров",AB7:AB88)</f>
        <v>0</v>
      </c>
      <c r="AC106" s="396" t="s">
        <v>32</v>
      </c>
      <c r="AD106" s="420">
        <f>SUMIF(AA7:AA88,"=ремонт тротуаров",AD7:AD88)</f>
        <v>0</v>
      </c>
      <c r="AE106" s="396"/>
      <c r="AF106" s="396"/>
      <c r="AG106" s="397" t="s">
        <v>464</v>
      </c>
      <c r="AH106" s="38">
        <f>SUMIF(AG7:AG88,"=ремонт тротуаров",AH7:AH88)</f>
        <v>0</v>
      </c>
      <c r="AI106" s="396" t="s">
        <v>32</v>
      </c>
      <c r="AJ106" s="420">
        <f>SUMIF(AG7:AG88,"=ремонт тротуаров",AJ7:AJ88)</f>
        <v>0</v>
      </c>
      <c r="AK106" s="396"/>
      <c r="AL106" s="396"/>
      <c r="AM106" s="397" t="s">
        <v>464</v>
      </c>
      <c r="AN106" s="38">
        <f>SUMIF(AM7:AM88,"=ремонт тротуаров",AN7:AN88)</f>
        <v>0</v>
      </c>
      <c r="AO106" s="396" t="s">
        <v>32</v>
      </c>
      <c r="AP106" s="420">
        <f>SUMIF(AM7:AM88,"=ремонт тротуаров",AP7:AP88)</f>
        <v>0</v>
      </c>
      <c r="AQ106" s="634"/>
      <c r="AR106" s="606"/>
      <c r="AS106" s="394"/>
      <c r="AT106" s="393"/>
      <c r="AU106" s="395"/>
      <c r="AV106" s="278"/>
      <c r="AW106" s="278"/>
      <c r="AX106" s="278"/>
      <c r="AY106" s="278"/>
      <c r="AZ106" s="278"/>
      <c r="BA106" s="278"/>
      <c r="BB106" s="278"/>
      <c r="BC106" s="278"/>
      <c r="BD106" s="278"/>
    </row>
    <row r="107" spans="1:56" ht="28.5">
      <c r="A107" s="973"/>
      <c r="B107" s="974"/>
      <c r="C107" s="974"/>
      <c r="D107" s="974"/>
      <c r="E107" s="974"/>
      <c r="F107" s="974"/>
      <c r="G107" s="974"/>
      <c r="H107" s="974"/>
      <c r="I107" s="397" t="s">
        <v>68</v>
      </c>
      <c r="J107" s="38">
        <f>SUMIF(I7:I88,"=устройство освещения",J7:J88)</f>
        <v>2000</v>
      </c>
      <c r="K107" s="396" t="s">
        <v>2681</v>
      </c>
      <c r="L107" s="420">
        <f>SUMIF(I7:I88,"=устройство освещения",L7:L88)</f>
        <v>6790</v>
      </c>
      <c r="M107" s="419"/>
      <c r="N107" s="396"/>
      <c r="O107" s="397" t="s">
        <v>68</v>
      </c>
      <c r="P107" s="38">
        <f>SUMIF(O7:O88,"=устройство освещения",P7:P88)</f>
        <v>0</v>
      </c>
      <c r="Q107" s="396" t="s">
        <v>2681</v>
      </c>
      <c r="R107" s="420">
        <f>SUMIF(O7:O88,"=устройство освещения",R7:R88)</f>
        <v>0</v>
      </c>
      <c r="S107" s="396"/>
      <c r="T107" s="396"/>
      <c r="U107" s="397" t="s">
        <v>68</v>
      </c>
      <c r="V107" s="38">
        <f>SUMIF(U7:U88,"=устройство освещения",V7:V88)</f>
        <v>0</v>
      </c>
      <c r="W107" s="396" t="s">
        <v>2681</v>
      </c>
      <c r="X107" s="420">
        <f>SUMIF(U7:U88,"=устройство освещения",X7:X88)</f>
        <v>0</v>
      </c>
      <c r="Y107" s="396"/>
      <c r="Z107" s="396"/>
      <c r="AA107" s="397" t="s">
        <v>68</v>
      </c>
      <c r="AB107" s="38">
        <f>SUMIF(AA7:AA88,"=устройство освещения",AB7:AB88)</f>
        <v>0</v>
      </c>
      <c r="AC107" s="396" t="s">
        <v>2681</v>
      </c>
      <c r="AD107" s="420">
        <f>SUMIF(AA7:AA88,"=устройство освещения",AD7:AD88)</f>
        <v>0</v>
      </c>
      <c r="AE107" s="396"/>
      <c r="AF107" s="396"/>
      <c r="AG107" s="397" t="s">
        <v>68</v>
      </c>
      <c r="AH107" s="38">
        <f>SUMIF(AG7:AG88,"=устройство освещения",AH7:AH88)</f>
        <v>0</v>
      </c>
      <c r="AI107" s="396" t="s">
        <v>2681</v>
      </c>
      <c r="AJ107" s="420">
        <f>SUMIF(AG7:AG88,"=устройство освещения",AJ7:AJ88)</f>
        <v>0</v>
      </c>
      <c r="AK107" s="396"/>
      <c r="AL107" s="396"/>
      <c r="AM107" s="397" t="s">
        <v>68</v>
      </c>
      <c r="AN107" s="38">
        <f>SUMIF(AM7:AM88,"=устройство освещения",AN7:AN88)</f>
        <v>0</v>
      </c>
      <c r="AO107" s="396" t="s">
        <v>2681</v>
      </c>
      <c r="AP107" s="420">
        <f>SUMIF(AM7:AM88,"=устройство освещения",AP7:AP88)</f>
        <v>0</v>
      </c>
      <c r="AQ107" s="634"/>
      <c r="AR107" s="606"/>
      <c r="AS107" s="394"/>
      <c r="AT107" s="393"/>
      <c r="AU107" s="395"/>
      <c r="AV107" s="278"/>
      <c r="AW107" s="278"/>
      <c r="AX107" s="278"/>
      <c r="AY107" s="278"/>
      <c r="AZ107" s="278"/>
      <c r="BA107" s="278"/>
      <c r="BB107" s="278"/>
      <c r="BC107" s="278"/>
      <c r="BD107" s="278"/>
    </row>
    <row r="108" spans="1:56" ht="42.75">
      <c r="A108" s="973"/>
      <c r="B108" s="974"/>
      <c r="C108" s="974"/>
      <c r="D108" s="974"/>
      <c r="E108" s="974"/>
      <c r="F108" s="974"/>
      <c r="G108" s="974"/>
      <c r="H108" s="974"/>
      <c r="I108" s="397" t="s">
        <v>465</v>
      </c>
      <c r="J108" s="38">
        <f>SUMIF(I7:I88,"=установка направляющих устройств",J7:J88)</f>
        <v>0</v>
      </c>
      <c r="K108" s="396" t="s">
        <v>2681</v>
      </c>
      <c r="L108" s="420">
        <f>SUMIF(I7:I88,"=установка направляющих устройств",L7:L88)</f>
        <v>0</v>
      </c>
      <c r="M108" s="419"/>
      <c r="N108" s="396"/>
      <c r="O108" s="397" t="s">
        <v>465</v>
      </c>
      <c r="P108" s="38">
        <f>SUMIF(O7:O88,"=установка направляющих устройств",P7:P88)</f>
        <v>0</v>
      </c>
      <c r="Q108" s="396" t="s">
        <v>2681</v>
      </c>
      <c r="R108" s="420">
        <f>SUMIF(O7:O88,"=установка направляющих устройств",R7:R88)</f>
        <v>0</v>
      </c>
      <c r="S108" s="396"/>
      <c r="T108" s="396"/>
      <c r="U108" s="397" t="s">
        <v>465</v>
      </c>
      <c r="V108" s="38">
        <f>SUMIF(U7:U88,"=установка направляющих устройств",V7:V88)</f>
        <v>0</v>
      </c>
      <c r="W108" s="396" t="s">
        <v>2681</v>
      </c>
      <c r="X108" s="420">
        <f>SUMIF(U7:U88,"=установка направляющих устройств",X7:X88)</f>
        <v>0</v>
      </c>
      <c r="Y108" s="396"/>
      <c r="Z108" s="396"/>
      <c r="AA108" s="397" t="s">
        <v>465</v>
      </c>
      <c r="AB108" s="38">
        <f>SUMIF(AA7:AA88,"=установка направляющих устройств",AB7:AB88)</f>
        <v>0</v>
      </c>
      <c r="AC108" s="396" t="s">
        <v>2681</v>
      </c>
      <c r="AD108" s="420">
        <f>SUMIF(AA7:AA88,"=установка направляющих устройств",AD7:AD88)</f>
        <v>0</v>
      </c>
      <c r="AE108" s="396"/>
      <c r="AF108" s="396"/>
      <c r="AG108" s="397" t="s">
        <v>465</v>
      </c>
      <c r="AH108" s="38">
        <f>SUMIF(AG7:AG88,"=установка направляющих устройств",AH7:AH88)</f>
        <v>0</v>
      </c>
      <c r="AI108" s="396" t="s">
        <v>2681</v>
      </c>
      <c r="AJ108" s="420">
        <f>SUMIF(AG7:AG88,"=установка направляющих устройств",AJ7:AJ88)</f>
        <v>0</v>
      </c>
      <c r="AK108" s="396"/>
      <c r="AL108" s="396"/>
      <c r="AM108" s="397" t="s">
        <v>465</v>
      </c>
      <c r="AN108" s="38">
        <f>SUMIF(AM7:AM88,"=установка направляющих устройств",AN7:AN88)</f>
        <v>0</v>
      </c>
      <c r="AO108" s="396" t="s">
        <v>2681</v>
      </c>
      <c r="AP108" s="420">
        <f>SUMIF(AM7:AM88,"=установка направляющих устройств",AP7:AP88)</f>
        <v>0</v>
      </c>
      <c r="AQ108" s="634"/>
      <c r="AR108" s="606"/>
      <c r="AS108" s="394"/>
      <c r="AT108" s="393"/>
      <c r="AU108" s="395"/>
      <c r="AV108" s="278"/>
      <c r="AW108" s="278"/>
      <c r="AX108" s="278"/>
      <c r="AY108" s="278"/>
      <c r="AZ108" s="278"/>
      <c r="BA108" s="278"/>
      <c r="BB108" s="278"/>
      <c r="BC108" s="278"/>
      <c r="BD108" s="278"/>
    </row>
    <row r="109" spans="1:56" ht="28.5">
      <c r="A109" s="973"/>
      <c r="B109" s="974"/>
      <c r="C109" s="974"/>
      <c r="D109" s="974"/>
      <c r="E109" s="974"/>
      <c r="F109" s="974"/>
      <c r="G109" s="974"/>
      <c r="H109" s="974"/>
      <c r="I109" s="397" t="s">
        <v>112</v>
      </c>
      <c r="J109" s="38">
        <f>SUMIF(I90:I91,"=укладка слоев износа",J90:J91)</f>
        <v>0</v>
      </c>
      <c r="K109" s="396" t="s">
        <v>32</v>
      </c>
      <c r="L109" s="420">
        <f>SUMIF(I90:I91,"=укладка слоев износа",L90:L91)</f>
        <v>0</v>
      </c>
      <c r="M109" s="419"/>
      <c r="N109" s="396"/>
      <c r="O109" s="397" t="s">
        <v>112</v>
      </c>
      <c r="P109" s="38">
        <f>SUMIF(O90:O91,"=укладка слоев износа",P90:P91)</f>
        <v>0</v>
      </c>
      <c r="Q109" s="396" t="s">
        <v>32</v>
      </c>
      <c r="R109" s="420">
        <f>SUMIF(O90:O91,"=укладка слоев износа",R90:R91)</f>
        <v>0</v>
      </c>
      <c r="S109" s="396"/>
      <c r="T109" s="396"/>
      <c r="U109" s="397" t="s">
        <v>112</v>
      </c>
      <c r="V109" s="38">
        <f>SUMIF(U90:U91,"=укладка слоев износа",V90:V91)</f>
        <v>0</v>
      </c>
      <c r="W109" s="396" t="s">
        <v>32</v>
      </c>
      <c r="X109" s="420">
        <f>SUMIF(U90:U91,"=укладка слоев износа",X90:X91)</f>
        <v>0</v>
      </c>
      <c r="Y109" s="396"/>
      <c r="Z109" s="396"/>
      <c r="AA109" s="397" t="s">
        <v>112</v>
      </c>
      <c r="AB109" s="38">
        <f>SUMIF(AA90:AA91,"=укладка слоев износа",AB90:AB91)</f>
        <v>0</v>
      </c>
      <c r="AC109" s="396" t="s">
        <v>32</v>
      </c>
      <c r="AD109" s="420">
        <f>SUMIF(AA90:AA91,"=укладка слоев износа",AD90:AD91)</f>
        <v>0</v>
      </c>
      <c r="AE109" s="396"/>
      <c r="AF109" s="396"/>
      <c r="AG109" s="397" t="s">
        <v>112</v>
      </c>
      <c r="AH109" s="38">
        <f>SUMIF(AG90:AG91,"=укладка слоев износа",AH90:AH91)</f>
        <v>266.10000000000002</v>
      </c>
      <c r="AI109" s="396" t="s">
        <v>32</v>
      </c>
      <c r="AJ109" s="420">
        <f>SUMIF(AG90:AG91,"=укладка слоев износа",AJ90:AJ91)</f>
        <v>500000</v>
      </c>
      <c r="AK109" s="396"/>
      <c r="AL109" s="396"/>
      <c r="AM109" s="397" t="s">
        <v>112</v>
      </c>
      <c r="AN109" s="38">
        <f>SUMIF(AM90:AM91,"=укладка слоев износа",AN90:AN91)</f>
        <v>266.10000000000002</v>
      </c>
      <c r="AO109" s="396" t="s">
        <v>32</v>
      </c>
      <c r="AP109" s="420">
        <f>SUMIF(AM90:AM91,"=укладка слоев износа",AP90:AP91)</f>
        <v>800000</v>
      </c>
      <c r="AQ109" s="634"/>
      <c r="AR109" s="606"/>
      <c r="AS109" s="394"/>
      <c r="AT109" s="393"/>
      <c r="AU109" s="395"/>
      <c r="AV109" s="278"/>
      <c r="AW109" s="278"/>
      <c r="AX109" s="278"/>
      <c r="AY109" s="278"/>
      <c r="AZ109" s="278"/>
      <c r="BA109" s="278"/>
      <c r="BB109" s="278"/>
      <c r="BC109" s="278"/>
      <c r="BD109" s="278"/>
    </row>
    <row r="110" spans="1:56" ht="42.75">
      <c r="A110" s="973"/>
      <c r="B110" s="974"/>
      <c r="C110" s="974"/>
      <c r="D110" s="974"/>
      <c r="E110" s="974"/>
      <c r="F110" s="974"/>
      <c r="G110" s="974"/>
      <c r="H110" s="974"/>
      <c r="I110" s="397" t="s">
        <v>466</v>
      </c>
      <c r="J110" s="38">
        <f>SUMIF(I90:I91,"=шероховатая поверхностная обработка",J90:J91)</f>
        <v>0</v>
      </c>
      <c r="K110" s="396" t="s">
        <v>32</v>
      </c>
      <c r="L110" s="420">
        <f>SUMIF(I90:I91,"=шероховатая поверхностная обработка",L90:L91)</f>
        <v>0</v>
      </c>
      <c r="M110" s="419"/>
      <c r="N110" s="396"/>
      <c r="O110" s="397" t="s">
        <v>466</v>
      </c>
      <c r="P110" s="38">
        <f>SUMIF(O90:O91,"=шероховатая поверхностная обработка",P90:P91)</f>
        <v>0</v>
      </c>
      <c r="Q110" s="396" t="s">
        <v>32</v>
      </c>
      <c r="R110" s="420">
        <f>SUMIF(O90:O91,"=шероховатая поверхностная обработка",R90:R91)</f>
        <v>0</v>
      </c>
      <c r="S110" s="396"/>
      <c r="T110" s="396"/>
      <c r="U110" s="397" t="s">
        <v>466</v>
      </c>
      <c r="V110" s="38">
        <f>SUMIF(U90:U91,"=шероховатая поверхностная обработка",V90:V91)</f>
        <v>0</v>
      </c>
      <c r="W110" s="396" t="s">
        <v>32</v>
      </c>
      <c r="X110" s="420">
        <f>SUMIF(U90:U91,"=шероховатая поверхностная обработка",X90:X91)</f>
        <v>0</v>
      </c>
      <c r="Y110" s="396"/>
      <c r="Z110" s="396"/>
      <c r="AA110" s="397" t="s">
        <v>466</v>
      </c>
      <c r="AB110" s="38">
        <f>SUMIF(AA90:AA91,"=шероховатая поверхностная обработка",AB90:AB91)</f>
        <v>0</v>
      </c>
      <c r="AC110" s="396" t="s">
        <v>32</v>
      </c>
      <c r="AD110" s="420">
        <f>SUMIF(AA90:AA91,"=шероховатая поверхностная обработка",AD90:AD91)</f>
        <v>0</v>
      </c>
      <c r="AE110" s="396"/>
      <c r="AF110" s="396"/>
      <c r="AG110" s="397" t="s">
        <v>466</v>
      </c>
      <c r="AH110" s="38">
        <f>SUMIF(AG90:AG91,"=шероховатая поверхностная обработка",AH90:AH91)</f>
        <v>0</v>
      </c>
      <c r="AI110" s="396" t="s">
        <v>32</v>
      </c>
      <c r="AJ110" s="420">
        <f>SUMIF(AG90:AG91,"=шероховатая поверхностная обработка",AJ90:AJ91)</f>
        <v>0</v>
      </c>
      <c r="AK110" s="396"/>
      <c r="AL110" s="396"/>
      <c r="AM110" s="397" t="s">
        <v>466</v>
      </c>
      <c r="AN110" s="38">
        <f>SUMIF(AM90:AM91,"=шероховатая поверхностная обработка",AN90:AN91)</f>
        <v>0</v>
      </c>
      <c r="AO110" s="396" t="s">
        <v>32</v>
      </c>
      <c r="AP110" s="420">
        <f>SUMIF(AM90:AM91,"=шероховатая поверхностная обработка",AP90:AP91)</f>
        <v>0</v>
      </c>
      <c r="AQ110" s="634"/>
      <c r="AR110" s="606"/>
      <c r="AS110" s="394"/>
      <c r="AT110" s="393"/>
      <c r="AU110" s="395"/>
      <c r="AV110" s="278"/>
      <c r="AW110" s="278"/>
      <c r="AX110" s="278"/>
      <c r="AY110" s="278"/>
      <c r="AZ110" s="278"/>
      <c r="BA110" s="278"/>
      <c r="BB110" s="278"/>
      <c r="BC110" s="278"/>
      <c r="BD110" s="278"/>
    </row>
    <row r="111" spans="1:56" ht="42.75">
      <c r="A111" s="973"/>
      <c r="B111" s="974"/>
      <c r="C111" s="974"/>
      <c r="D111" s="974"/>
      <c r="E111" s="974"/>
      <c r="F111" s="974"/>
      <c r="G111" s="974"/>
      <c r="H111" s="974"/>
      <c r="I111" s="397" t="s">
        <v>467</v>
      </c>
      <c r="J111" s="38">
        <f>SUMIF(I90:I91,"=обработка защитной пропиткой",J90:J91)</f>
        <v>0</v>
      </c>
      <c r="K111" s="396" t="s">
        <v>32</v>
      </c>
      <c r="L111" s="420">
        <f>SUMIF(I90:I91,"=обработка защитной пропиткой",L90:L91)</f>
        <v>0</v>
      </c>
      <c r="M111" s="419"/>
      <c r="N111" s="396"/>
      <c r="O111" s="397" t="s">
        <v>467</v>
      </c>
      <c r="P111" s="38">
        <f>SUMIF(O90:O91,"=обработка защитной пропиткой",P90:P91)</f>
        <v>0</v>
      </c>
      <c r="Q111" s="396" t="s">
        <v>32</v>
      </c>
      <c r="R111" s="420">
        <f>SUMIF(O90:O91,"=обработка защитной пропиткой",R90:R91)</f>
        <v>0</v>
      </c>
      <c r="S111" s="396"/>
      <c r="T111" s="396"/>
      <c r="U111" s="397" t="s">
        <v>467</v>
      </c>
      <c r="V111" s="38">
        <f>SUMIF(U90:U91,"=обработка защитной пропиткой",V90:V91)</f>
        <v>0</v>
      </c>
      <c r="W111" s="396" t="s">
        <v>32</v>
      </c>
      <c r="X111" s="420">
        <f>SUMIF(U90:U91,"=обработка защитной пропиткой",X90:X91)</f>
        <v>0</v>
      </c>
      <c r="Y111" s="396"/>
      <c r="Z111" s="396"/>
      <c r="AA111" s="397" t="s">
        <v>467</v>
      </c>
      <c r="AB111" s="38">
        <f>SUMIF(AA90:AA91,"=обработка защитной пропиткой",AB90:AB91)</f>
        <v>0</v>
      </c>
      <c r="AC111" s="396" t="s">
        <v>32</v>
      </c>
      <c r="AD111" s="420">
        <f>SUMIF(AA90:AA91,"=обработка защитной пропиткой",AD90:AD91)</f>
        <v>0</v>
      </c>
      <c r="AE111" s="396"/>
      <c r="AF111" s="396"/>
      <c r="AG111" s="397" t="s">
        <v>467</v>
      </c>
      <c r="AH111" s="38">
        <f>SUMIF(AG90:AG91,"=обработка защитной пропиткой",AH90:AH91)</f>
        <v>0</v>
      </c>
      <c r="AI111" s="396" t="s">
        <v>32</v>
      </c>
      <c r="AJ111" s="420">
        <f>SUMIF(AG90:AG91,"=обработка защитной пропиткой",AJ90:AJ91)</f>
        <v>0</v>
      </c>
      <c r="AK111" s="396"/>
      <c r="AL111" s="396"/>
      <c r="AM111" s="397" t="s">
        <v>467</v>
      </c>
      <c r="AN111" s="38">
        <f>SUMIF(AM90:AM91,"=обработка защитной пропиткой",AN90:AN91)</f>
        <v>0</v>
      </c>
      <c r="AO111" s="396" t="s">
        <v>32</v>
      </c>
      <c r="AP111" s="420">
        <f>SUMIF(AM90:AM91,"=обработка защитной пропиткой",AP90:AP91)</f>
        <v>0</v>
      </c>
      <c r="AQ111" s="634"/>
      <c r="AR111" s="606"/>
      <c r="AS111" s="394"/>
      <c r="AT111" s="393"/>
      <c r="AU111" s="395"/>
      <c r="AV111" s="278"/>
      <c r="AW111" s="278"/>
      <c r="AX111" s="278"/>
      <c r="AY111" s="278"/>
      <c r="AZ111" s="278"/>
      <c r="BA111" s="278"/>
      <c r="BB111" s="278"/>
      <c r="BC111" s="278"/>
      <c r="BD111" s="278"/>
    </row>
    <row r="112" spans="1:56" ht="42.75">
      <c r="A112" s="973"/>
      <c r="B112" s="974"/>
      <c r="C112" s="974"/>
      <c r="D112" s="974"/>
      <c r="E112" s="974"/>
      <c r="F112" s="974"/>
      <c r="G112" s="974"/>
      <c r="H112" s="974"/>
      <c r="I112" s="397" t="s">
        <v>468</v>
      </c>
      <c r="J112" s="38">
        <f>SUMIF(I7:I88,"=установка водоотводных лотков",J7:J88)</f>
        <v>0</v>
      </c>
      <c r="K112" s="396" t="s">
        <v>118</v>
      </c>
      <c r="L112" s="420">
        <f>SUMIF(I7:I88,"=установка водоотводных лотков",L7:L88)</f>
        <v>0</v>
      </c>
      <c r="M112" s="419"/>
      <c r="N112" s="396"/>
      <c r="O112" s="397" t="s">
        <v>468</v>
      </c>
      <c r="P112" s="38">
        <f>SUMIF(O7:O88,"=установка водоотводных лотков",P7:P88)</f>
        <v>0</v>
      </c>
      <c r="Q112" s="396" t="s">
        <v>118</v>
      </c>
      <c r="R112" s="420">
        <f>SUMIF(O7:O88,"=установка водоотводных лотков",R7:R88)</f>
        <v>0</v>
      </c>
      <c r="S112" s="396"/>
      <c r="T112" s="396"/>
      <c r="U112" s="397" t="s">
        <v>468</v>
      </c>
      <c r="V112" s="38">
        <f>SUMIF(U7:U88,"=установка водоотводных лотков",V7:V88)</f>
        <v>0</v>
      </c>
      <c r="W112" s="396" t="s">
        <v>118</v>
      </c>
      <c r="X112" s="420">
        <f>SUMIF(U7:U88,"=установка водоотводных лотков",X7:X88)</f>
        <v>0</v>
      </c>
      <c r="Y112" s="396"/>
      <c r="Z112" s="396"/>
      <c r="AA112" s="397" t="s">
        <v>468</v>
      </c>
      <c r="AB112" s="38">
        <f>SUMIF(AA7:AA88,"=установка водоотводных лотков",AB7:AB88)</f>
        <v>0</v>
      </c>
      <c r="AC112" s="396" t="s">
        <v>118</v>
      </c>
      <c r="AD112" s="420">
        <f>SUMIF(AA7:AA88,"=установка водоотводных лотков",AD7:AD88)</f>
        <v>0</v>
      </c>
      <c r="AE112" s="396"/>
      <c r="AF112" s="396"/>
      <c r="AG112" s="397" t="s">
        <v>468</v>
      </c>
      <c r="AH112" s="38">
        <f>SUMIF(AG7:AG88,"=установка водоотводных лотков",AH7:AH88)</f>
        <v>0</v>
      </c>
      <c r="AI112" s="396" t="s">
        <v>118</v>
      </c>
      <c r="AJ112" s="420">
        <f>SUMIF(AG7:AG88,"=установка водоотводных лотков",AJ7:AJ88)</f>
        <v>0</v>
      </c>
      <c r="AK112" s="396"/>
      <c r="AL112" s="396"/>
      <c r="AM112" s="397" t="s">
        <v>468</v>
      </c>
      <c r="AN112" s="38">
        <f>SUMIF(AM7:AM88,"=установка водоотводных лотков",AN7:AN88)</f>
        <v>0</v>
      </c>
      <c r="AO112" s="396" t="s">
        <v>118</v>
      </c>
      <c r="AP112" s="420">
        <f>SUMIF(AM7:AM88,"=установка водоотводных лотков",AP7:AP88)</f>
        <v>0</v>
      </c>
      <c r="AQ112" s="634"/>
      <c r="AR112" s="606"/>
      <c r="AS112" s="394"/>
      <c r="AT112" s="393"/>
      <c r="AU112" s="395"/>
      <c r="AV112" s="278"/>
      <c r="AW112" s="278"/>
      <c r="AX112" s="278"/>
      <c r="AY112" s="278"/>
      <c r="AZ112" s="278"/>
      <c r="BA112" s="278"/>
      <c r="BB112" s="278"/>
      <c r="BC112" s="278"/>
      <c r="BD112" s="278"/>
    </row>
    <row r="113" spans="1:56" ht="42.75">
      <c r="A113" s="973"/>
      <c r="B113" s="974"/>
      <c r="C113" s="974"/>
      <c r="D113" s="974"/>
      <c r="E113" s="974"/>
      <c r="F113" s="974"/>
      <c r="G113" s="974"/>
      <c r="H113" s="974"/>
      <c r="I113" s="397" t="s">
        <v>469</v>
      </c>
      <c r="J113" s="38">
        <f>SUMIF(I7:I88,"=очистка водоотводных полос",J7:J88)</f>
        <v>0</v>
      </c>
      <c r="K113" s="396" t="s">
        <v>2681</v>
      </c>
      <c r="L113" s="420">
        <f>SUMIF(I7:I88,"=очистка водоотводных полос",L7:L88)</f>
        <v>0</v>
      </c>
      <c r="M113" s="419"/>
      <c r="N113" s="396"/>
      <c r="O113" s="397" t="s">
        <v>469</v>
      </c>
      <c r="P113" s="38">
        <f>SUMIF(O7:O88,"=очистка водоотводных полос",P7:P88)</f>
        <v>0</v>
      </c>
      <c r="Q113" s="396" t="s">
        <v>2681</v>
      </c>
      <c r="R113" s="420">
        <f>SUMIF(O7:O88,"=очистка водоотводных полос",R7:R88)</f>
        <v>0</v>
      </c>
      <c r="S113" s="396"/>
      <c r="T113" s="396"/>
      <c r="U113" s="397" t="s">
        <v>469</v>
      </c>
      <c r="V113" s="38">
        <f>SUMIF(U7:U88,"=очистка водоотводных полос",V7:V88)</f>
        <v>0</v>
      </c>
      <c r="W113" s="396" t="s">
        <v>2681</v>
      </c>
      <c r="X113" s="420">
        <f>SUMIF(U7:U88,"=очистка водоотводных полос",X7:X88)</f>
        <v>0</v>
      </c>
      <c r="Y113" s="396"/>
      <c r="Z113" s="396"/>
      <c r="AA113" s="397" t="s">
        <v>469</v>
      </c>
      <c r="AB113" s="38">
        <f>SUMIF(AA7:AA88,"=очистка водоотводных полос",AB7:AB88)</f>
        <v>0</v>
      </c>
      <c r="AC113" s="396" t="s">
        <v>2681</v>
      </c>
      <c r="AD113" s="420">
        <f>SUMIF(AA7:AA88,"=очистка водоотводных полос",AD7:AD88)</f>
        <v>0</v>
      </c>
      <c r="AE113" s="396"/>
      <c r="AF113" s="396"/>
      <c r="AG113" s="397" t="s">
        <v>469</v>
      </c>
      <c r="AH113" s="38">
        <f>SUMIF(AG7:AG88,"=очистка водоотводных полос",AH7:AH88)</f>
        <v>0</v>
      </c>
      <c r="AI113" s="396" t="s">
        <v>2681</v>
      </c>
      <c r="AJ113" s="420">
        <f>SUMIF(AG7:AG88,"=очистка водоотводных полос",AJ7:AJ88)</f>
        <v>0</v>
      </c>
      <c r="AK113" s="396"/>
      <c r="AL113" s="396"/>
      <c r="AM113" s="397" t="s">
        <v>469</v>
      </c>
      <c r="AN113" s="38">
        <f>SUMIF(AM7:AM88,"=очистка водоотводных полос",AN7:AN88)</f>
        <v>0</v>
      </c>
      <c r="AO113" s="396" t="s">
        <v>2681</v>
      </c>
      <c r="AP113" s="420">
        <f>SUMIF(AM7:AM88,"=очистка водоотводных полос",AP7:AP88)</f>
        <v>0</v>
      </c>
      <c r="AQ113" s="634"/>
      <c r="AR113" s="606"/>
      <c r="AS113" s="394"/>
      <c r="AT113" s="393"/>
      <c r="AU113" s="395"/>
      <c r="AV113" s="278"/>
      <c r="AW113" s="278"/>
      <c r="AX113" s="278"/>
      <c r="AY113" s="278"/>
      <c r="AZ113" s="278"/>
      <c r="BA113" s="278"/>
      <c r="BB113" s="278"/>
      <c r="BC113" s="278"/>
      <c r="BD113" s="278"/>
    </row>
    <row r="114" spans="1:56" ht="71.25">
      <c r="A114" s="973"/>
      <c r="B114" s="974"/>
      <c r="C114" s="974"/>
      <c r="D114" s="974"/>
      <c r="E114" s="974"/>
      <c r="F114" s="974"/>
      <c r="G114" s="974"/>
      <c r="H114" s="974"/>
      <c r="I114" s="397" t="s">
        <v>470</v>
      </c>
      <c r="J114" s="38">
        <f>SUMIF(I7:I88,"=установка камер автоматической фото- видеофиксации нарушения ПДД",J7:J88)</f>
        <v>0</v>
      </c>
      <c r="K114" s="396" t="s">
        <v>118</v>
      </c>
      <c r="L114" s="420">
        <f>SUMIF(I7:I88,"=установка камер автоматической фото- видеофиксации нарушения ПДД",L7:L88)</f>
        <v>0</v>
      </c>
      <c r="M114" s="419"/>
      <c r="N114" s="396"/>
      <c r="O114" s="397" t="s">
        <v>470</v>
      </c>
      <c r="P114" s="38">
        <f>SUMIF(O7:O88,"=установка камер автоматической фото- видеофиксации нарушения ПДД",P7:P88)</f>
        <v>0</v>
      </c>
      <c r="Q114" s="396" t="s">
        <v>118</v>
      </c>
      <c r="R114" s="420">
        <f>SUMIF(O7:O88,"=установка камер автоматической фото- видеофиксации нарушения ПДД",R7:R88)</f>
        <v>0</v>
      </c>
      <c r="S114" s="396"/>
      <c r="T114" s="396"/>
      <c r="U114" s="397" t="s">
        <v>470</v>
      </c>
      <c r="V114" s="38">
        <f>SUMIF(U7:U88,"=установка камер автоматической фото- видеофиксации нарушения ПДД",V7:V88)</f>
        <v>0</v>
      </c>
      <c r="W114" s="396" t="s">
        <v>118</v>
      </c>
      <c r="X114" s="420">
        <f>SUMIF(U7:U88,"=установка камер автоматической фото- видеофиксации нарушения ПДД",X7:X88)</f>
        <v>0</v>
      </c>
      <c r="Y114" s="396"/>
      <c r="Z114" s="396"/>
      <c r="AA114" s="397" t="s">
        <v>470</v>
      </c>
      <c r="AB114" s="38">
        <f>SUMIF(AA7:AA88,"=установка камер автоматической фото- видеофиксации нарушения ПДД",AB7:AB88)</f>
        <v>0</v>
      </c>
      <c r="AC114" s="396" t="s">
        <v>118</v>
      </c>
      <c r="AD114" s="420">
        <f>SUMIF(AA7:AA88,"=установка камер автоматической фото- видеофиксации нарушения ПДД",AD7:AD88)</f>
        <v>0</v>
      </c>
      <c r="AE114" s="396"/>
      <c r="AF114" s="396"/>
      <c r="AG114" s="397" t="s">
        <v>470</v>
      </c>
      <c r="AH114" s="38">
        <f>SUMIF(AG7:AG88,"=установка камер автоматической фото- видеофиксации нарушения ПДД",AH7:AH88)</f>
        <v>0</v>
      </c>
      <c r="AI114" s="396" t="s">
        <v>118</v>
      </c>
      <c r="AJ114" s="420">
        <f>SUMIF(AG7:AG88,"=установка камер автоматической фото- видеофиксации нарушения ПДД",AJ7:AJ88)</f>
        <v>0</v>
      </c>
      <c r="AK114" s="396"/>
      <c r="AL114" s="396"/>
      <c r="AM114" s="397" t="s">
        <v>470</v>
      </c>
      <c r="AN114" s="38">
        <f>SUMIF(AM7:AM88,"=установка камер автоматической фото- видеофиксации нарушения ПДД",AN7:AN88)</f>
        <v>0</v>
      </c>
      <c r="AO114" s="396" t="s">
        <v>118</v>
      </c>
      <c r="AP114" s="420">
        <f>SUMIF(AM7:AM88,"=установка камер автоматической фото- видеофиксации нарушения ПДД",AP7:AP88)</f>
        <v>0</v>
      </c>
      <c r="AQ114" s="634"/>
      <c r="AR114" s="606"/>
      <c r="AS114" s="394"/>
      <c r="AT114" s="393"/>
      <c r="AU114" s="395"/>
      <c r="AV114" s="278"/>
      <c r="AW114" s="278"/>
      <c r="AX114" s="278"/>
      <c r="AY114" s="278"/>
      <c r="AZ114" s="278"/>
      <c r="BA114" s="278"/>
      <c r="BB114" s="278"/>
      <c r="BC114" s="278"/>
      <c r="BD114" s="278"/>
    </row>
    <row r="115" spans="1:56">
      <c r="A115" s="973"/>
      <c r="B115" s="974"/>
      <c r="C115" s="974"/>
      <c r="D115" s="974"/>
      <c r="E115" s="974"/>
      <c r="F115" s="974"/>
      <c r="G115" s="974"/>
      <c r="H115" s="974"/>
      <c r="I115" s="397" t="s">
        <v>471</v>
      </c>
      <c r="J115" s="38">
        <f>SUMIF(I7:I88,"=иные виды работ",J7:J88)</f>
        <v>6</v>
      </c>
      <c r="K115" s="396"/>
      <c r="L115" s="505">
        <f>SUMIF(I7:I88,"=иные виды работ",L7:L88)</f>
        <v>317.21726000000001</v>
      </c>
      <c r="M115" s="419"/>
      <c r="N115" s="396"/>
      <c r="O115" s="397" t="s">
        <v>471</v>
      </c>
      <c r="P115" s="38">
        <f>SUMIF(O7:O88,"=иные виды работ",P7:P88)</f>
        <v>0</v>
      </c>
      <c r="Q115" s="396"/>
      <c r="R115" s="505">
        <f>SUMIF(O7:O88,"=иные виды работ",R7:R88)</f>
        <v>0</v>
      </c>
      <c r="S115" s="396"/>
      <c r="T115" s="396"/>
      <c r="U115" s="397" t="s">
        <v>471</v>
      </c>
      <c r="V115" s="38">
        <f>SUMIF(U7:U88,"=иные виды работ",V7:V88)</f>
        <v>0</v>
      </c>
      <c r="W115" s="396"/>
      <c r="X115" s="505">
        <f>SUMIF(U7:U88,"=иные виды работ",X7:X88)</f>
        <v>0</v>
      </c>
      <c r="Y115" s="396"/>
      <c r="Z115" s="396"/>
      <c r="AA115" s="397" t="s">
        <v>471</v>
      </c>
      <c r="AB115" s="38">
        <f>SUMIF(AA7:AA88,"=иные виды работ",AB7:AB88)</f>
        <v>0</v>
      </c>
      <c r="AC115" s="396"/>
      <c r="AD115" s="505">
        <f>SUMIF(AA7:AA88,"=иные виды работ",AD7:AD88)</f>
        <v>0</v>
      </c>
      <c r="AE115" s="396"/>
      <c r="AF115" s="396"/>
      <c r="AG115" s="397" t="s">
        <v>471</v>
      </c>
      <c r="AH115" s="38">
        <f>SUMIF(AG7:AG88,"=иные виды работ",AH7:AH88)</f>
        <v>0</v>
      </c>
      <c r="AI115" s="396"/>
      <c r="AJ115" s="505">
        <f>SUMIF(AG7:AG88,"=иные виды работ",AJ7:AJ88)</f>
        <v>0</v>
      </c>
      <c r="AK115" s="396"/>
      <c r="AL115" s="396"/>
      <c r="AM115" s="397" t="s">
        <v>471</v>
      </c>
      <c r="AN115" s="38">
        <f>SUMIF(AM7:AM88,"=иные виды работ",AN7:AN88)</f>
        <v>0</v>
      </c>
      <c r="AO115" s="396"/>
      <c r="AP115" s="505">
        <f>SUMIF(AM7:AM88,"=иные виды работ",AP7:AP88)</f>
        <v>0</v>
      </c>
      <c r="AQ115" s="634"/>
      <c r="AR115" s="606"/>
      <c r="AS115" s="394"/>
      <c r="AT115" s="393"/>
      <c r="AU115" s="395"/>
      <c r="AV115" s="278"/>
      <c r="AW115" s="278"/>
      <c r="AX115" s="278"/>
      <c r="AY115" s="278"/>
      <c r="AZ115" s="278"/>
      <c r="BA115" s="278"/>
      <c r="BB115" s="278"/>
      <c r="BC115" s="278"/>
      <c r="BD115" s="278"/>
    </row>
    <row r="116" spans="1:56" ht="42.75" customHeight="1">
      <c r="A116" s="1002" t="s">
        <v>3508</v>
      </c>
      <c r="B116" s="1003"/>
      <c r="C116" s="1003"/>
      <c r="D116" s="1003"/>
      <c r="E116" s="1003"/>
      <c r="F116" s="1003"/>
      <c r="G116" s="1003"/>
      <c r="H116" s="1003"/>
      <c r="I116" s="1003"/>
      <c r="J116" s="1003"/>
      <c r="K116" s="1003"/>
      <c r="L116" s="1003"/>
      <c r="M116" s="1003"/>
      <c r="N116" s="1003"/>
      <c r="O116" s="1003"/>
      <c r="P116" s="1003"/>
      <c r="Q116" s="1003"/>
      <c r="R116" s="1003"/>
      <c r="S116" s="1003"/>
      <c r="T116" s="1003"/>
      <c r="U116" s="1003"/>
      <c r="V116" s="1003"/>
      <c r="W116" s="1003"/>
      <c r="X116" s="1003"/>
      <c r="Y116" s="1003"/>
      <c r="Z116" s="1003"/>
      <c r="AA116" s="1003"/>
      <c r="AB116" s="1003"/>
      <c r="AC116" s="1003"/>
      <c r="AD116" s="1003"/>
      <c r="AE116" s="1003"/>
      <c r="AF116" s="1003"/>
      <c r="AG116" s="1003"/>
      <c r="AH116" s="1003"/>
      <c r="AI116" s="1003"/>
      <c r="AJ116" s="1003"/>
      <c r="AK116" s="1003"/>
      <c r="AL116" s="1003"/>
      <c r="AM116" s="1003"/>
      <c r="AN116" s="1003"/>
      <c r="AO116" s="1003"/>
      <c r="AP116" s="1003"/>
      <c r="AQ116" s="1004"/>
      <c r="AR116" s="606"/>
      <c r="AS116" s="394"/>
      <c r="AT116" s="393"/>
      <c r="AU116" s="395"/>
      <c r="AV116" s="278"/>
      <c r="AW116" s="278"/>
      <c r="AX116" s="278"/>
      <c r="AY116" s="278"/>
      <c r="AZ116" s="278"/>
      <c r="BA116" s="278"/>
      <c r="BB116" s="278"/>
      <c r="BC116" s="278"/>
      <c r="BD116" s="278"/>
    </row>
    <row r="117" spans="1:56" ht="35.25" customHeight="1">
      <c r="A117" s="869">
        <v>31</v>
      </c>
      <c r="B117" s="870">
        <v>805575</v>
      </c>
      <c r="C117" s="891" t="s">
        <v>480</v>
      </c>
      <c r="D117" s="892" t="s">
        <v>481</v>
      </c>
      <c r="E117" s="873">
        <v>2.9670000000000001</v>
      </c>
      <c r="F117" s="874">
        <v>19285.5</v>
      </c>
      <c r="G117" s="865"/>
      <c r="H117" s="865"/>
      <c r="I117" s="511" t="s">
        <v>482</v>
      </c>
      <c r="J117" s="534"/>
      <c r="K117" s="274"/>
      <c r="L117" s="508"/>
      <c r="M117" s="865" t="s">
        <v>60</v>
      </c>
      <c r="N117" s="865" t="s">
        <v>483</v>
      </c>
      <c r="O117" s="893" t="s">
        <v>114</v>
      </c>
      <c r="P117" s="286">
        <v>2.9670000000000001</v>
      </c>
      <c r="Q117" s="518" t="s">
        <v>17</v>
      </c>
      <c r="R117" s="866">
        <v>39200</v>
      </c>
      <c r="S117" s="129"/>
      <c r="T117" s="129"/>
      <c r="U117" s="129" t="s">
        <v>482</v>
      </c>
      <c r="V117" s="297"/>
      <c r="W117" s="130"/>
      <c r="X117" s="604"/>
      <c r="Y117" s="507"/>
      <c r="Z117" s="507"/>
      <c r="AA117" s="507" t="s">
        <v>482</v>
      </c>
      <c r="AB117" s="286"/>
      <c r="AC117" s="274"/>
      <c r="AD117" s="509"/>
      <c r="AE117" s="507"/>
      <c r="AF117" s="507"/>
      <c r="AG117" s="507" t="s">
        <v>482</v>
      </c>
      <c r="AH117" s="286"/>
      <c r="AI117" s="507"/>
      <c r="AJ117" s="509"/>
      <c r="AK117" s="507"/>
      <c r="AL117" s="507"/>
      <c r="AM117" s="865"/>
      <c r="AN117" s="286"/>
      <c r="AO117" s="518"/>
      <c r="AP117" s="907"/>
      <c r="AQ117" s="634"/>
      <c r="AR117" s="606"/>
      <c r="AS117" s="394"/>
      <c r="AT117" s="393"/>
      <c r="AU117" s="395"/>
      <c r="AV117" s="278"/>
      <c r="AW117" s="278"/>
      <c r="AX117" s="278"/>
      <c r="AY117" s="278"/>
      <c r="AZ117" s="278"/>
      <c r="BA117" s="278"/>
      <c r="BB117" s="278"/>
      <c r="BC117" s="278"/>
      <c r="BD117" s="278"/>
    </row>
    <row r="118" spans="1:56" ht="35.25" customHeight="1">
      <c r="A118" s="869"/>
      <c r="B118" s="870"/>
      <c r="C118" s="891"/>
      <c r="D118" s="892"/>
      <c r="E118" s="873"/>
      <c r="F118" s="874"/>
      <c r="G118" s="865"/>
      <c r="H118" s="865"/>
      <c r="I118" s="512"/>
      <c r="J118" s="534"/>
      <c r="K118" s="274"/>
      <c r="L118" s="508"/>
      <c r="M118" s="865"/>
      <c r="N118" s="865"/>
      <c r="O118" s="916"/>
      <c r="P118" s="287">
        <f>F117/E117*P117</f>
        <v>19285.5</v>
      </c>
      <c r="Q118" s="507" t="s">
        <v>32</v>
      </c>
      <c r="R118" s="866"/>
      <c r="S118" s="129"/>
      <c r="T118" s="129"/>
      <c r="U118" s="129"/>
      <c r="V118" s="297"/>
      <c r="W118" s="130"/>
      <c r="X118" s="604"/>
      <c r="Y118" s="507"/>
      <c r="Z118" s="507"/>
      <c r="AA118" s="507"/>
      <c r="AB118" s="286"/>
      <c r="AC118" s="274"/>
      <c r="AD118" s="509"/>
      <c r="AE118" s="507"/>
      <c r="AF118" s="507"/>
      <c r="AG118" s="507"/>
      <c r="AH118" s="286"/>
      <c r="AI118" s="507"/>
      <c r="AJ118" s="509"/>
      <c r="AK118" s="507"/>
      <c r="AL118" s="507"/>
      <c r="AM118" s="865"/>
      <c r="AN118" s="286"/>
      <c r="AO118" s="507"/>
      <c r="AP118" s="907"/>
      <c r="AQ118" s="634"/>
      <c r="AR118" s="606"/>
      <c r="AS118" s="394"/>
      <c r="AT118" s="393"/>
      <c r="AU118" s="395"/>
      <c r="AV118" s="278"/>
      <c r="AW118" s="278"/>
      <c r="AX118" s="278"/>
      <c r="AY118" s="278"/>
      <c r="AZ118" s="278"/>
      <c r="BA118" s="278"/>
      <c r="BB118" s="278"/>
      <c r="BC118" s="278"/>
      <c r="BD118" s="278"/>
    </row>
    <row r="119" spans="1:56">
      <c r="A119" s="869"/>
      <c r="B119" s="870"/>
      <c r="C119" s="891"/>
      <c r="D119" s="892"/>
      <c r="E119" s="873"/>
      <c r="F119" s="874"/>
      <c r="G119" s="507"/>
      <c r="H119" s="507"/>
      <c r="I119" s="512"/>
      <c r="J119" s="534"/>
      <c r="K119" s="274"/>
      <c r="L119" s="508"/>
      <c r="M119" s="507"/>
      <c r="N119" s="507"/>
      <c r="O119" s="513"/>
      <c r="P119" s="287"/>
      <c r="Q119" s="507"/>
      <c r="R119" s="508"/>
      <c r="S119" s="507"/>
      <c r="T119" s="507"/>
      <c r="U119" s="507"/>
      <c r="V119" s="297"/>
      <c r="W119" s="130"/>
      <c r="X119" s="508"/>
      <c r="Y119" s="507"/>
      <c r="Z119" s="507"/>
      <c r="AA119" s="507"/>
      <c r="AB119" s="286"/>
      <c r="AC119" s="274"/>
      <c r="AD119" s="509"/>
      <c r="AE119" s="507"/>
      <c r="AF119" s="507"/>
      <c r="AG119" s="507"/>
      <c r="AH119" s="286"/>
      <c r="AI119" s="507"/>
      <c r="AJ119" s="509"/>
      <c r="AK119" s="908"/>
      <c r="AL119" s="908"/>
      <c r="AM119" s="914"/>
      <c r="AN119" s="976"/>
      <c r="AO119" s="977"/>
      <c r="AP119" s="978"/>
      <c r="AQ119" s="634"/>
      <c r="AR119" s="606"/>
      <c r="AS119" s="394"/>
      <c r="AT119" s="393"/>
      <c r="AU119" s="395"/>
      <c r="AV119" s="278"/>
      <c r="AW119" s="278"/>
      <c r="AX119" s="278"/>
      <c r="AY119" s="278"/>
      <c r="AZ119" s="278"/>
      <c r="BA119" s="278"/>
      <c r="BB119" s="278"/>
      <c r="BC119" s="278"/>
      <c r="BD119" s="278"/>
    </row>
    <row r="120" spans="1:56">
      <c r="A120" s="869"/>
      <c r="B120" s="870"/>
      <c r="C120" s="891"/>
      <c r="D120" s="892"/>
      <c r="E120" s="873"/>
      <c r="F120" s="874"/>
      <c r="G120" s="507"/>
      <c r="H120" s="507"/>
      <c r="I120" s="512"/>
      <c r="J120" s="534"/>
      <c r="K120" s="274"/>
      <c r="L120" s="508"/>
      <c r="M120" s="507"/>
      <c r="N120" s="507"/>
      <c r="O120" s="513"/>
      <c r="P120" s="287"/>
      <c r="Q120" s="507"/>
      <c r="R120" s="508"/>
      <c r="S120" s="507"/>
      <c r="T120" s="507"/>
      <c r="U120" s="507"/>
      <c r="V120" s="297"/>
      <c r="W120" s="130"/>
      <c r="X120" s="508"/>
      <c r="Y120" s="507"/>
      <c r="Z120" s="507"/>
      <c r="AA120" s="507"/>
      <c r="AB120" s="286"/>
      <c r="AC120" s="274"/>
      <c r="AD120" s="509"/>
      <c r="AE120" s="507"/>
      <c r="AF120" s="507"/>
      <c r="AG120" s="507"/>
      <c r="AH120" s="286"/>
      <c r="AI120" s="507"/>
      <c r="AJ120" s="509"/>
      <c r="AK120" s="908"/>
      <c r="AL120" s="908"/>
      <c r="AM120" s="914"/>
      <c r="AN120" s="976"/>
      <c r="AO120" s="977"/>
      <c r="AP120" s="978"/>
      <c r="AQ120" s="634"/>
      <c r="AR120" s="606"/>
      <c r="AS120" s="394"/>
      <c r="AT120" s="393"/>
      <c r="AU120" s="395"/>
      <c r="AV120" s="278"/>
      <c r="AW120" s="278"/>
      <c r="AX120" s="278"/>
      <c r="AY120" s="278"/>
      <c r="AZ120" s="278"/>
      <c r="BA120" s="278"/>
      <c r="BB120" s="278"/>
      <c r="BC120" s="278"/>
      <c r="BD120" s="278"/>
    </row>
    <row r="121" spans="1:56" ht="50.25" customHeight="1">
      <c r="A121" s="869">
        <v>32</v>
      </c>
      <c r="B121" s="870">
        <v>805575</v>
      </c>
      <c r="C121" s="891" t="s">
        <v>484</v>
      </c>
      <c r="D121" s="892" t="s">
        <v>481</v>
      </c>
      <c r="E121" s="873">
        <v>7.29</v>
      </c>
      <c r="F121" s="874">
        <v>48843</v>
      </c>
      <c r="G121" s="507"/>
      <c r="H121" s="507"/>
      <c r="I121" s="511" t="s">
        <v>482</v>
      </c>
      <c r="J121" s="534"/>
      <c r="K121" s="274"/>
      <c r="L121" s="508"/>
      <c r="M121" s="865" t="s">
        <v>483</v>
      </c>
      <c r="N121" s="865" t="s">
        <v>485</v>
      </c>
      <c r="O121" s="893" t="s">
        <v>114</v>
      </c>
      <c r="P121" s="286">
        <v>7.3</v>
      </c>
      <c r="Q121" s="518" t="s">
        <v>17</v>
      </c>
      <c r="R121" s="866">
        <v>99400</v>
      </c>
      <c r="S121" s="507"/>
      <c r="T121" s="507"/>
      <c r="U121" s="507" t="s">
        <v>482</v>
      </c>
      <c r="V121" s="286"/>
      <c r="W121" s="274"/>
      <c r="X121" s="508"/>
      <c r="Y121" s="507"/>
      <c r="Z121" s="507"/>
      <c r="AA121" s="507" t="s">
        <v>482</v>
      </c>
      <c r="AB121" s="286"/>
      <c r="AC121" s="274">
        <f>AB121*1000*AR121</f>
        <v>0</v>
      </c>
      <c r="AD121" s="509"/>
      <c r="AE121" s="507"/>
      <c r="AF121" s="507"/>
      <c r="AG121" s="507" t="s">
        <v>482</v>
      </c>
      <c r="AH121" s="286"/>
      <c r="AI121" s="507"/>
      <c r="AJ121" s="509"/>
      <c r="AK121" s="507"/>
      <c r="AL121" s="507"/>
      <c r="AM121" s="865"/>
      <c r="AN121" s="286"/>
      <c r="AO121" s="518"/>
      <c r="AP121" s="907"/>
      <c r="AQ121" s="634"/>
      <c r="AR121" s="606"/>
      <c r="AS121" s="394"/>
      <c r="AT121" s="393"/>
      <c r="AU121" s="395"/>
      <c r="AV121" s="278"/>
      <c r="AW121" s="278"/>
      <c r="AX121" s="278"/>
      <c r="AY121" s="278"/>
      <c r="AZ121" s="278"/>
      <c r="BA121" s="278"/>
      <c r="BB121" s="278"/>
      <c r="BC121" s="278"/>
      <c r="BD121" s="278"/>
    </row>
    <row r="122" spans="1:56" ht="50.25" customHeight="1">
      <c r="A122" s="869"/>
      <c r="B122" s="870"/>
      <c r="C122" s="891"/>
      <c r="D122" s="892"/>
      <c r="E122" s="873"/>
      <c r="F122" s="874"/>
      <c r="G122" s="507"/>
      <c r="H122" s="507"/>
      <c r="I122" s="512"/>
      <c r="J122" s="534"/>
      <c r="K122" s="274"/>
      <c r="L122" s="508"/>
      <c r="M122" s="865"/>
      <c r="N122" s="865"/>
      <c r="O122" s="916"/>
      <c r="P122" s="287">
        <f>F121/E121*P121</f>
        <v>48910</v>
      </c>
      <c r="Q122" s="507" t="s">
        <v>32</v>
      </c>
      <c r="R122" s="866"/>
      <c r="S122" s="507"/>
      <c r="T122" s="507"/>
      <c r="U122" s="507"/>
      <c r="V122" s="297"/>
      <c r="W122" s="130"/>
      <c r="X122" s="508"/>
      <c r="Y122" s="507"/>
      <c r="Z122" s="507"/>
      <c r="AA122" s="507"/>
      <c r="AB122" s="286"/>
      <c r="AC122" s="274"/>
      <c r="AD122" s="509"/>
      <c r="AE122" s="507"/>
      <c r="AF122" s="507"/>
      <c r="AG122" s="507"/>
      <c r="AH122" s="286"/>
      <c r="AI122" s="507"/>
      <c r="AJ122" s="509"/>
      <c r="AK122" s="507"/>
      <c r="AL122" s="507"/>
      <c r="AM122" s="865"/>
      <c r="AN122" s="286"/>
      <c r="AO122" s="507"/>
      <c r="AP122" s="907"/>
      <c r="AQ122" s="634"/>
      <c r="AR122" s="606"/>
      <c r="AS122" s="394"/>
      <c r="AT122" s="393"/>
      <c r="AU122" s="395"/>
      <c r="AV122" s="278"/>
      <c r="AW122" s="278"/>
      <c r="AX122" s="278"/>
      <c r="AY122" s="278"/>
      <c r="AZ122" s="278"/>
      <c r="BA122" s="278"/>
      <c r="BB122" s="278"/>
      <c r="BC122" s="278"/>
      <c r="BD122" s="278"/>
    </row>
    <row r="123" spans="1:56">
      <c r="A123" s="869">
        <v>33</v>
      </c>
      <c r="B123" s="870" t="s">
        <v>486</v>
      </c>
      <c r="C123" s="891" t="s">
        <v>487</v>
      </c>
      <c r="D123" s="892" t="s">
        <v>488</v>
      </c>
      <c r="E123" s="873">
        <v>36.115000000000002</v>
      </c>
      <c r="F123" s="874">
        <v>216690</v>
      </c>
      <c r="G123" s="865"/>
      <c r="H123" s="865"/>
      <c r="I123" s="893" t="s">
        <v>482</v>
      </c>
      <c r="J123" s="895"/>
      <c r="K123" s="901"/>
      <c r="L123" s="866"/>
      <c r="M123" s="865" t="s">
        <v>60</v>
      </c>
      <c r="N123" s="865" t="s">
        <v>489</v>
      </c>
      <c r="O123" s="893" t="s">
        <v>114</v>
      </c>
      <c r="P123" s="286">
        <v>10</v>
      </c>
      <c r="Q123" s="518" t="s">
        <v>17</v>
      </c>
      <c r="R123" s="866">
        <v>147000</v>
      </c>
      <c r="S123" s="865" t="s">
        <v>490</v>
      </c>
      <c r="T123" s="865" t="s">
        <v>491</v>
      </c>
      <c r="U123" s="893" t="s">
        <v>114</v>
      </c>
      <c r="V123" s="286">
        <v>8</v>
      </c>
      <c r="W123" s="518" t="s">
        <v>17</v>
      </c>
      <c r="X123" s="866">
        <v>131000</v>
      </c>
      <c r="Y123" s="865" t="s">
        <v>491</v>
      </c>
      <c r="Z123" s="865" t="s">
        <v>2975</v>
      </c>
      <c r="AA123" s="865" t="s">
        <v>31</v>
      </c>
      <c r="AB123" s="286">
        <v>4.915</v>
      </c>
      <c r="AC123" s="518" t="s">
        <v>17</v>
      </c>
      <c r="AD123" s="907">
        <v>192000</v>
      </c>
      <c r="AE123" s="513"/>
      <c r="AF123" s="513"/>
      <c r="AG123" s="14"/>
      <c r="AH123" s="289"/>
      <c r="AI123" s="14"/>
      <c r="AJ123" s="622"/>
      <c r="AK123" s="507"/>
      <c r="AL123" s="507"/>
      <c r="AM123" s="865" t="s">
        <v>31</v>
      </c>
      <c r="AN123" s="286">
        <v>2.1</v>
      </c>
      <c r="AO123" s="518" t="s">
        <v>17</v>
      </c>
      <c r="AP123" s="907">
        <v>126000</v>
      </c>
      <c r="AQ123" s="634"/>
      <c r="AR123" s="606"/>
      <c r="AS123" s="394"/>
      <c r="AT123" s="393"/>
      <c r="AU123" s="395"/>
      <c r="AV123" s="278"/>
      <c r="AW123" s="278"/>
      <c r="AX123" s="278"/>
      <c r="AY123" s="278"/>
      <c r="AZ123" s="278"/>
      <c r="BA123" s="278"/>
      <c r="BB123" s="278"/>
      <c r="BC123" s="278"/>
      <c r="BD123" s="278"/>
    </row>
    <row r="124" spans="1:56">
      <c r="A124" s="869"/>
      <c r="B124" s="870"/>
      <c r="C124" s="891"/>
      <c r="D124" s="892"/>
      <c r="E124" s="873"/>
      <c r="F124" s="874"/>
      <c r="G124" s="865"/>
      <c r="H124" s="865"/>
      <c r="I124" s="894"/>
      <c r="J124" s="895"/>
      <c r="K124" s="901"/>
      <c r="L124" s="866"/>
      <c r="M124" s="865"/>
      <c r="N124" s="865"/>
      <c r="O124" s="916"/>
      <c r="P124" s="287">
        <f>F123/E123*P123</f>
        <v>60000</v>
      </c>
      <c r="Q124" s="507" t="s">
        <v>32</v>
      </c>
      <c r="R124" s="866"/>
      <c r="S124" s="865"/>
      <c r="T124" s="865"/>
      <c r="U124" s="916"/>
      <c r="V124" s="286">
        <f>F123/E123*V123</f>
        <v>48000</v>
      </c>
      <c r="W124" s="507" t="s">
        <v>32</v>
      </c>
      <c r="X124" s="866"/>
      <c r="Y124" s="865"/>
      <c r="Z124" s="865"/>
      <c r="AA124" s="865"/>
      <c r="AB124" s="287">
        <v>90000</v>
      </c>
      <c r="AC124" s="507" t="s">
        <v>32</v>
      </c>
      <c r="AD124" s="907"/>
      <c r="AE124" s="513"/>
      <c r="AF124" s="513"/>
      <c r="AG124" s="14"/>
      <c r="AH124" s="289"/>
      <c r="AI124" s="14"/>
      <c r="AJ124" s="622"/>
      <c r="AK124" s="507"/>
      <c r="AL124" s="507"/>
      <c r="AM124" s="865"/>
      <c r="AN124" s="286">
        <f>F123/E123*AN123</f>
        <v>12600</v>
      </c>
      <c r="AO124" s="507" t="s">
        <v>32</v>
      </c>
      <c r="AP124" s="907"/>
      <c r="AQ124" s="634"/>
      <c r="AR124" s="606"/>
      <c r="AS124" s="394"/>
      <c r="AT124" s="393"/>
      <c r="AU124" s="395"/>
      <c r="AV124" s="278"/>
      <c r="AW124" s="278"/>
      <c r="AX124" s="278"/>
      <c r="AY124" s="278"/>
      <c r="AZ124" s="278"/>
      <c r="BA124" s="278"/>
      <c r="BB124" s="278"/>
      <c r="BC124" s="278"/>
      <c r="BD124" s="278"/>
    </row>
    <row r="125" spans="1:56">
      <c r="A125" s="869"/>
      <c r="B125" s="870"/>
      <c r="C125" s="891"/>
      <c r="D125" s="892"/>
      <c r="E125" s="873"/>
      <c r="F125" s="874"/>
      <c r="G125" s="507"/>
      <c r="H125" s="507"/>
      <c r="I125" s="512"/>
      <c r="J125" s="534"/>
      <c r="K125" s="274"/>
      <c r="L125" s="508"/>
      <c r="M125" s="865"/>
      <c r="N125" s="865"/>
      <c r="O125" s="865"/>
      <c r="P125" s="286"/>
      <c r="Q125" s="518"/>
      <c r="R125" s="866"/>
      <c r="S125" s="865" t="s">
        <v>492</v>
      </c>
      <c r="T125" s="865" t="s">
        <v>490</v>
      </c>
      <c r="U125" s="865" t="s">
        <v>31</v>
      </c>
      <c r="V125" s="286">
        <v>8</v>
      </c>
      <c r="W125" s="518" t="s">
        <v>17</v>
      </c>
      <c r="X125" s="866">
        <v>313320.39999999997</v>
      </c>
      <c r="Y125" s="908"/>
      <c r="Z125" s="908"/>
      <c r="AA125" s="914"/>
      <c r="AB125" s="976"/>
      <c r="AC125" s="977"/>
      <c r="AD125" s="978"/>
      <c r="AE125" s="513"/>
      <c r="AF125" s="513"/>
      <c r="AG125" s="14"/>
      <c r="AH125" s="289"/>
      <c r="AI125" s="14"/>
      <c r="AJ125" s="622"/>
      <c r="AK125" s="507"/>
      <c r="AL125" s="507"/>
      <c r="AM125" s="507"/>
      <c r="AN125" s="517"/>
      <c r="AO125" s="515"/>
      <c r="AP125" s="623"/>
      <c r="AQ125" s="634"/>
      <c r="AR125" s="606"/>
      <c r="AS125" s="394"/>
      <c r="AT125" s="393"/>
      <c r="AU125" s="395"/>
      <c r="AV125" s="278"/>
      <c r="AW125" s="278"/>
      <c r="AX125" s="278"/>
      <c r="AY125" s="278"/>
      <c r="AZ125" s="278"/>
      <c r="BA125" s="278"/>
      <c r="BB125" s="278"/>
      <c r="BC125" s="278"/>
      <c r="BD125" s="278"/>
    </row>
    <row r="126" spans="1:56">
      <c r="A126" s="869"/>
      <c r="B126" s="870"/>
      <c r="C126" s="891"/>
      <c r="D126" s="892"/>
      <c r="E126" s="873"/>
      <c r="F126" s="874"/>
      <c r="G126" s="507"/>
      <c r="H126" s="507"/>
      <c r="I126" s="512"/>
      <c r="J126" s="534"/>
      <c r="K126" s="274"/>
      <c r="L126" s="508"/>
      <c r="M126" s="865"/>
      <c r="N126" s="865"/>
      <c r="O126" s="865"/>
      <c r="P126" s="287"/>
      <c r="Q126" s="507"/>
      <c r="R126" s="866"/>
      <c r="S126" s="865"/>
      <c r="T126" s="865"/>
      <c r="U126" s="975"/>
      <c r="V126" s="286">
        <f>V125*F123/E123</f>
        <v>48000</v>
      </c>
      <c r="W126" s="507" t="s">
        <v>32</v>
      </c>
      <c r="X126" s="866"/>
      <c r="Y126" s="908"/>
      <c r="Z126" s="908"/>
      <c r="AA126" s="914"/>
      <c r="AB126" s="976"/>
      <c r="AC126" s="977"/>
      <c r="AD126" s="978"/>
      <c r="AE126" s="513"/>
      <c r="AF126" s="513"/>
      <c r="AG126" s="14"/>
      <c r="AH126" s="289"/>
      <c r="AI126" s="14"/>
      <c r="AJ126" s="622"/>
      <c r="AK126" s="507"/>
      <c r="AL126" s="507"/>
      <c r="AM126" s="507"/>
      <c r="AN126" s="517"/>
      <c r="AO126" s="515"/>
      <c r="AP126" s="623"/>
      <c r="AQ126" s="634"/>
      <c r="AR126" s="606"/>
      <c r="AS126" s="394"/>
      <c r="AT126" s="393"/>
      <c r="AU126" s="395"/>
      <c r="AV126" s="278"/>
      <c r="AW126" s="278"/>
      <c r="AX126" s="278"/>
      <c r="AY126" s="278"/>
      <c r="AZ126" s="278"/>
      <c r="BA126" s="278"/>
      <c r="BB126" s="278"/>
      <c r="BC126" s="278"/>
      <c r="BD126" s="278"/>
    </row>
    <row r="127" spans="1:56">
      <c r="A127" s="869">
        <v>34</v>
      </c>
      <c r="B127" s="870" t="s">
        <v>486</v>
      </c>
      <c r="C127" s="891" t="s">
        <v>493</v>
      </c>
      <c r="D127" s="892" t="s">
        <v>488</v>
      </c>
      <c r="E127" s="873">
        <v>22.4</v>
      </c>
      <c r="F127" s="874">
        <v>133710</v>
      </c>
      <c r="G127" s="865" t="s">
        <v>494</v>
      </c>
      <c r="H127" s="865" t="s">
        <v>495</v>
      </c>
      <c r="I127" s="893" t="s">
        <v>31</v>
      </c>
      <c r="J127" s="274">
        <v>12</v>
      </c>
      <c r="K127" s="518" t="s">
        <v>17</v>
      </c>
      <c r="L127" s="962">
        <f>4499.76656+284223.93706</f>
        <v>288723.70362000004</v>
      </c>
      <c r="M127" s="865" t="s">
        <v>539</v>
      </c>
      <c r="N127" s="865" t="s">
        <v>554</v>
      </c>
      <c r="O127" s="865" t="s">
        <v>31</v>
      </c>
      <c r="P127" s="286">
        <v>2</v>
      </c>
      <c r="Q127" s="518" t="s">
        <v>17</v>
      </c>
      <c r="R127" s="866">
        <v>61000</v>
      </c>
      <c r="S127" s="865"/>
      <c r="T127" s="865"/>
      <c r="U127" s="865"/>
      <c r="V127" s="286"/>
      <c r="W127" s="518"/>
      <c r="X127" s="866"/>
      <c r="Y127" s="865"/>
      <c r="Z127" s="865"/>
      <c r="AA127" s="865"/>
      <c r="AB127" s="286"/>
      <c r="AC127" s="518"/>
      <c r="AD127" s="907"/>
      <c r="AE127" s="865" t="s">
        <v>2565</v>
      </c>
      <c r="AF127" s="865" t="s">
        <v>494</v>
      </c>
      <c r="AG127" s="865" t="s">
        <v>31</v>
      </c>
      <c r="AH127" s="274">
        <v>5.2</v>
      </c>
      <c r="AI127" s="518" t="s">
        <v>17</v>
      </c>
      <c r="AJ127" s="866">
        <v>260000</v>
      </c>
      <c r="AK127" s="865"/>
      <c r="AL127" s="865"/>
      <c r="AM127" s="865"/>
      <c r="AN127" s="286"/>
      <c r="AO127" s="518"/>
      <c r="AP127" s="907"/>
      <c r="AQ127" s="634"/>
      <c r="AR127" s="606"/>
      <c r="AS127" s="394"/>
      <c r="AT127" s="393"/>
      <c r="AU127" s="395"/>
      <c r="AV127" s="278"/>
      <c r="AW127" s="278"/>
      <c r="AX127" s="278"/>
      <c r="AY127" s="278"/>
      <c r="AZ127" s="278"/>
      <c r="BA127" s="278"/>
      <c r="BB127" s="278"/>
      <c r="BC127" s="278"/>
      <c r="BD127" s="278"/>
    </row>
    <row r="128" spans="1:56">
      <c r="A128" s="869"/>
      <c r="B128" s="870"/>
      <c r="C128" s="891"/>
      <c r="D128" s="892"/>
      <c r="E128" s="873"/>
      <c r="F128" s="874"/>
      <c r="G128" s="865"/>
      <c r="H128" s="865"/>
      <c r="I128" s="893"/>
      <c r="J128" s="534">
        <v>89388</v>
      </c>
      <c r="K128" s="507" t="s">
        <v>32</v>
      </c>
      <c r="L128" s="963"/>
      <c r="M128" s="865"/>
      <c r="N128" s="865"/>
      <c r="O128" s="865"/>
      <c r="P128" s="287">
        <f>P127*F127/E127</f>
        <v>11938.392857142859</v>
      </c>
      <c r="Q128" s="507" t="s">
        <v>32</v>
      </c>
      <c r="R128" s="866"/>
      <c r="S128" s="865"/>
      <c r="T128" s="865"/>
      <c r="U128" s="975"/>
      <c r="V128" s="286"/>
      <c r="W128" s="507"/>
      <c r="X128" s="866"/>
      <c r="Y128" s="865"/>
      <c r="Z128" s="865"/>
      <c r="AA128" s="865"/>
      <c r="AB128" s="286"/>
      <c r="AC128" s="507"/>
      <c r="AD128" s="907"/>
      <c r="AE128" s="865"/>
      <c r="AF128" s="865"/>
      <c r="AG128" s="865"/>
      <c r="AH128" s="534">
        <f>AH127*F127/E127</f>
        <v>31039.821428571431</v>
      </c>
      <c r="AI128" s="507" t="s">
        <v>32</v>
      </c>
      <c r="AJ128" s="866"/>
      <c r="AK128" s="865"/>
      <c r="AL128" s="865"/>
      <c r="AM128" s="865"/>
      <c r="AN128" s="286"/>
      <c r="AO128" s="507"/>
      <c r="AP128" s="907"/>
      <c r="AQ128" s="634"/>
      <c r="AR128" s="606"/>
      <c r="AS128" s="394"/>
      <c r="AT128" s="393"/>
      <c r="AU128" s="395"/>
      <c r="AV128" s="278"/>
      <c r="AW128" s="278"/>
      <c r="AX128" s="278"/>
      <c r="AY128" s="278"/>
      <c r="AZ128" s="278"/>
      <c r="BA128" s="278"/>
      <c r="BB128" s="278"/>
      <c r="BC128" s="278"/>
      <c r="BD128" s="278"/>
    </row>
    <row r="129" spans="1:56">
      <c r="A129" s="869"/>
      <c r="B129" s="870"/>
      <c r="C129" s="891"/>
      <c r="D129" s="892"/>
      <c r="E129" s="873"/>
      <c r="F129" s="874"/>
      <c r="G129" s="865" t="s">
        <v>494</v>
      </c>
      <c r="H129" s="865" t="s">
        <v>495</v>
      </c>
      <c r="I129" s="893" t="s">
        <v>2682</v>
      </c>
      <c r="J129" s="274">
        <v>1</v>
      </c>
      <c r="K129" s="518" t="s">
        <v>118</v>
      </c>
      <c r="L129" s="866">
        <v>144</v>
      </c>
      <c r="M129" s="865" t="s">
        <v>2690</v>
      </c>
      <c r="N129" s="865" t="s">
        <v>2689</v>
      </c>
      <c r="O129" s="893" t="s">
        <v>114</v>
      </c>
      <c r="P129" s="286">
        <v>3.2</v>
      </c>
      <c r="Q129" s="518" t="s">
        <v>17</v>
      </c>
      <c r="R129" s="866">
        <v>51000</v>
      </c>
      <c r="S129" s="131"/>
      <c r="T129" s="131"/>
      <c r="U129" s="132"/>
      <c r="V129" s="517"/>
      <c r="W129" s="518"/>
      <c r="X129" s="624"/>
      <c r="Y129" s="507"/>
      <c r="Z129" s="507"/>
      <c r="AA129" s="515"/>
      <c r="AB129" s="517"/>
      <c r="AC129" s="274"/>
      <c r="AD129" s="623"/>
      <c r="AE129" s="507"/>
      <c r="AF129" s="507"/>
      <c r="AG129" s="507"/>
      <c r="AH129" s="286"/>
      <c r="AI129" s="507"/>
      <c r="AJ129" s="509"/>
      <c r="AK129" s="507"/>
      <c r="AL129" s="507"/>
      <c r="AM129" s="507"/>
      <c r="AN129" s="286"/>
      <c r="AO129" s="507"/>
      <c r="AP129" s="509"/>
      <c r="AQ129" s="634"/>
      <c r="AR129" s="606"/>
      <c r="AS129" s="394"/>
      <c r="AT129" s="393"/>
      <c r="AU129" s="395"/>
      <c r="AV129" s="278"/>
      <c r="AW129" s="278"/>
      <c r="AX129" s="278"/>
      <c r="AY129" s="278"/>
      <c r="AZ129" s="278"/>
      <c r="BA129" s="278"/>
      <c r="BB129" s="278"/>
      <c r="BC129" s="278"/>
      <c r="BD129" s="278"/>
    </row>
    <row r="130" spans="1:56">
      <c r="A130" s="869"/>
      <c r="B130" s="870"/>
      <c r="C130" s="891"/>
      <c r="D130" s="892"/>
      <c r="E130" s="873"/>
      <c r="F130" s="874"/>
      <c r="G130" s="865"/>
      <c r="H130" s="865"/>
      <c r="I130" s="894"/>
      <c r="J130" s="534"/>
      <c r="K130" s="507"/>
      <c r="L130" s="866"/>
      <c r="M130" s="865"/>
      <c r="N130" s="865"/>
      <c r="O130" s="916"/>
      <c r="P130" s="287">
        <f>P129*F127/E127</f>
        <v>19101.428571428572</v>
      </c>
      <c r="Q130" s="507" t="s">
        <v>32</v>
      </c>
      <c r="R130" s="866"/>
      <c r="S130" s="513"/>
      <c r="T130" s="513"/>
      <c r="U130" s="513"/>
      <c r="V130" s="288"/>
      <c r="W130" s="513"/>
      <c r="X130" s="605"/>
      <c r="Y130" s="507"/>
      <c r="Z130" s="507"/>
      <c r="AA130" s="515"/>
      <c r="AB130" s="517"/>
      <c r="AC130" s="274"/>
      <c r="AD130" s="623"/>
      <c r="AE130" s="507"/>
      <c r="AF130" s="507"/>
      <c r="AG130" s="507"/>
      <c r="AH130" s="286"/>
      <c r="AI130" s="507"/>
      <c r="AJ130" s="509"/>
      <c r="AK130" s="507"/>
      <c r="AL130" s="507"/>
      <c r="AM130" s="507"/>
      <c r="AN130" s="286"/>
      <c r="AO130" s="507"/>
      <c r="AP130" s="509"/>
      <c r="AQ130" s="634"/>
      <c r="AR130" s="606"/>
      <c r="AS130" s="394"/>
      <c r="AT130" s="393"/>
      <c r="AU130" s="395"/>
      <c r="AV130" s="278"/>
      <c r="AW130" s="278"/>
      <c r="AX130" s="278"/>
      <c r="AY130" s="278"/>
      <c r="AZ130" s="278"/>
      <c r="BA130" s="278"/>
      <c r="BB130" s="278"/>
      <c r="BC130" s="278"/>
      <c r="BD130" s="278"/>
    </row>
    <row r="131" spans="1:56" ht="39">
      <c r="A131" s="869"/>
      <c r="B131" s="870"/>
      <c r="C131" s="891"/>
      <c r="D131" s="892"/>
      <c r="E131" s="873"/>
      <c r="F131" s="874"/>
      <c r="G131" s="865"/>
      <c r="H131" s="865"/>
      <c r="I131" s="512" t="s">
        <v>2682</v>
      </c>
      <c r="J131" s="534">
        <v>1</v>
      </c>
      <c r="K131" s="518" t="s">
        <v>118</v>
      </c>
      <c r="L131" s="508">
        <v>0.55000000000000004</v>
      </c>
      <c r="M131" s="507"/>
      <c r="N131" s="507"/>
      <c r="O131" s="513"/>
      <c r="P131" s="286"/>
      <c r="Q131" s="507"/>
      <c r="R131" s="508"/>
      <c r="S131" s="513"/>
      <c r="T131" s="513"/>
      <c r="U131" s="513"/>
      <c r="V131" s="288"/>
      <c r="W131" s="513"/>
      <c r="X131" s="605"/>
      <c r="Y131" s="507"/>
      <c r="Z131" s="507"/>
      <c r="AA131" s="515"/>
      <c r="AB131" s="517"/>
      <c r="AC131" s="274"/>
      <c r="AD131" s="623"/>
      <c r="AE131" s="507"/>
      <c r="AF131" s="507"/>
      <c r="AG131" s="507"/>
      <c r="AH131" s="286"/>
      <c r="AI131" s="507"/>
      <c r="AJ131" s="509"/>
      <c r="AK131" s="507"/>
      <c r="AL131" s="507"/>
      <c r="AM131" s="507"/>
      <c r="AN131" s="286"/>
      <c r="AO131" s="507"/>
      <c r="AP131" s="509"/>
      <c r="AQ131" s="634"/>
      <c r="AR131" s="606"/>
      <c r="AS131" s="394"/>
      <c r="AT131" s="393"/>
      <c r="AU131" s="395"/>
      <c r="AV131" s="278"/>
      <c r="AW131" s="278"/>
      <c r="AX131" s="278"/>
      <c r="AY131" s="278"/>
      <c r="AZ131" s="278"/>
      <c r="BA131" s="278"/>
      <c r="BB131" s="278"/>
      <c r="BC131" s="278"/>
      <c r="BD131" s="278"/>
    </row>
    <row r="132" spans="1:56" ht="28.5" customHeight="1">
      <c r="A132" s="869"/>
      <c r="B132" s="870"/>
      <c r="C132" s="891"/>
      <c r="D132" s="892"/>
      <c r="E132" s="873"/>
      <c r="F132" s="874"/>
      <c r="G132" s="893" t="s">
        <v>495</v>
      </c>
      <c r="H132" s="865" t="s">
        <v>497</v>
      </c>
      <c r="I132" s="893" t="s">
        <v>31</v>
      </c>
      <c r="J132" s="274">
        <v>5.2377000000000002</v>
      </c>
      <c r="K132" s="518" t="s">
        <v>17</v>
      </c>
      <c r="L132" s="866">
        <v>81079.520000000004</v>
      </c>
      <c r="M132" s="507"/>
      <c r="N132" s="507"/>
      <c r="O132" s="513"/>
      <c r="P132" s="286"/>
      <c r="Q132" s="507"/>
      <c r="R132" s="508"/>
      <c r="S132" s="513"/>
      <c r="T132" s="513"/>
      <c r="U132" s="513"/>
      <c r="V132" s="288"/>
      <c r="W132" s="513"/>
      <c r="X132" s="605"/>
      <c r="Y132" s="507"/>
      <c r="Z132" s="507"/>
      <c r="AA132" s="515"/>
      <c r="AB132" s="517"/>
      <c r="AC132" s="274"/>
      <c r="AD132" s="623"/>
      <c r="AE132" s="507"/>
      <c r="AF132" s="507"/>
      <c r="AG132" s="507"/>
      <c r="AH132" s="286"/>
      <c r="AI132" s="507"/>
      <c r="AJ132" s="509"/>
      <c r="AK132" s="507"/>
      <c r="AL132" s="507"/>
      <c r="AM132" s="507"/>
      <c r="AN132" s="286"/>
      <c r="AO132" s="507"/>
      <c r="AP132" s="509"/>
      <c r="AQ132" s="634"/>
      <c r="AR132" s="606"/>
      <c r="AS132" s="394"/>
      <c r="AT132" s="393"/>
      <c r="AU132" s="395"/>
      <c r="AV132" s="278"/>
      <c r="AW132" s="278"/>
      <c r="AX132" s="278"/>
      <c r="AY132" s="278"/>
      <c r="AZ132" s="278"/>
      <c r="BA132" s="278"/>
      <c r="BB132" s="278"/>
      <c r="BC132" s="278"/>
      <c r="BD132" s="278"/>
    </row>
    <row r="133" spans="1:56" ht="28.5" customHeight="1">
      <c r="A133" s="869"/>
      <c r="B133" s="870"/>
      <c r="C133" s="891"/>
      <c r="D133" s="892"/>
      <c r="E133" s="873"/>
      <c r="F133" s="874"/>
      <c r="G133" s="865"/>
      <c r="H133" s="865"/>
      <c r="I133" s="894"/>
      <c r="J133" s="534">
        <v>38885</v>
      </c>
      <c r="K133" s="507" t="s">
        <v>32</v>
      </c>
      <c r="L133" s="866"/>
      <c r="M133" s="507"/>
      <c r="N133" s="507"/>
      <c r="O133" s="513"/>
      <c r="P133" s="286"/>
      <c r="Q133" s="507"/>
      <c r="R133" s="508"/>
      <c r="S133" s="513"/>
      <c r="T133" s="513"/>
      <c r="U133" s="513"/>
      <c r="V133" s="288"/>
      <c r="W133" s="513"/>
      <c r="X133" s="605"/>
      <c r="Y133" s="507"/>
      <c r="Z133" s="507"/>
      <c r="AA133" s="515"/>
      <c r="AB133" s="517"/>
      <c r="AC133" s="274"/>
      <c r="AD133" s="623"/>
      <c r="AE133" s="507"/>
      <c r="AF133" s="507"/>
      <c r="AG133" s="507"/>
      <c r="AH133" s="286"/>
      <c r="AI133" s="507"/>
      <c r="AJ133" s="509"/>
      <c r="AK133" s="507"/>
      <c r="AL133" s="507"/>
      <c r="AM133" s="507"/>
      <c r="AN133" s="286"/>
      <c r="AO133" s="507"/>
      <c r="AP133" s="509"/>
      <c r="AQ133" s="634"/>
      <c r="AR133" s="606"/>
      <c r="AS133" s="394"/>
      <c r="AT133" s="393"/>
      <c r="AU133" s="395"/>
      <c r="AV133" s="278"/>
      <c r="AW133" s="278"/>
      <c r="AX133" s="278"/>
      <c r="AY133" s="278"/>
      <c r="AZ133" s="278"/>
      <c r="BA133" s="278"/>
      <c r="BB133" s="278"/>
      <c r="BC133" s="278"/>
      <c r="BD133" s="278"/>
    </row>
    <row r="134" spans="1:56">
      <c r="A134" s="869">
        <v>35</v>
      </c>
      <c r="B134" s="870" t="s">
        <v>498</v>
      </c>
      <c r="C134" s="891" t="s">
        <v>499</v>
      </c>
      <c r="D134" s="892" t="s">
        <v>500</v>
      </c>
      <c r="E134" s="873">
        <v>49.3</v>
      </c>
      <c r="F134" s="874">
        <v>345100</v>
      </c>
      <c r="G134" s="507"/>
      <c r="H134" s="507"/>
      <c r="I134" s="512"/>
      <c r="J134" s="136"/>
      <c r="K134" s="518"/>
      <c r="L134" s="625"/>
      <c r="M134" s="507"/>
      <c r="N134" s="507"/>
      <c r="O134" s="507" t="s">
        <v>482</v>
      </c>
      <c r="P134" s="286"/>
      <c r="Q134" s="274"/>
      <c r="R134" s="508"/>
      <c r="S134" s="507"/>
      <c r="T134" s="507"/>
      <c r="U134" s="507" t="s">
        <v>482</v>
      </c>
      <c r="V134" s="287"/>
      <c r="W134" s="274"/>
      <c r="X134" s="508"/>
      <c r="Y134" s="515"/>
      <c r="Z134" s="515"/>
      <c r="AA134" s="516"/>
      <c r="AB134" s="517"/>
      <c r="AC134" s="275"/>
      <c r="AD134" s="623"/>
      <c r="AE134" s="507"/>
      <c r="AF134" s="507"/>
      <c r="AG134" s="907"/>
      <c r="AH134" s="286"/>
      <c r="AI134" s="518"/>
      <c r="AJ134" s="907"/>
      <c r="AK134" s="865"/>
      <c r="AL134" s="865"/>
      <c r="AM134" s="865"/>
      <c r="AN134" s="286"/>
      <c r="AO134" s="518"/>
      <c r="AP134" s="907"/>
      <c r="AQ134" s="634"/>
      <c r="AR134" s="606"/>
      <c r="AS134" s="394"/>
      <c r="AT134" s="393"/>
      <c r="AU134" s="395"/>
      <c r="AV134" s="278"/>
      <c r="AW134" s="278"/>
      <c r="AX134" s="278"/>
      <c r="AY134" s="278"/>
      <c r="AZ134" s="278"/>
      <c r="BA134" s="278"/>
      <c r="BB134" s="278"/>
      <c r="BC134" s="278"/>
      <c r="BD134" s="278"/>
    </row>
    <row r="135" spans="1:56">
      <c r="A135" s="869"/>
      <c r="B135" s="870"/>
      <c r="C135" s="891"/>
      <c r="D135" s="892"/>
      <c r="E135" s="873"/>
      <c r="F135" s="874"/>
      <c r="G135" s="507"/>
      <c r="H135" s="507"/>
      <c r="I135" s="512"/>
      <c r="J135" s="136"/>
      <c r="K135" s="518"/>
      <c r="L135" s="625"/>
      <c r="M135" s="507"/>
      <c r="N135" s="507"/>
      <c r="O135" s="507"/>
      <c r="P135" s="287"/>
      <c r="Q135" s="513"/>
      <c r="R135" s="508"/>
      <c r="S135" s="507"/>
      <c r="T135" s="507"/>
      <c r="U135" s="507"/>
      <c r="V135" s="287"/>
      <c r="W135" s="274"/>
      <c r="X135" s="508"/>
      <c r="Y135" s="507"/>
      <c r="Z135" s="507"/>
      <c r="AA135" s="507"/>
      <c r="AB135" s="286"/>
      <c r="AC135" s="274"/>
      <c r="AD135" s="509"/>
      <c r="AE135" s="507"/>
      <c r="AF135" s="507"/>
      <c r="AG135" s="907"/>
      <c r="AH135" s="286"/>
      <c r="AI135" s="507"/>
      <c r="AJ135" s="907"/>
      <c r="AK135" s="865"/>
      <c r="AL135" s="865"/>
      <c r="AM135" s="865"/>
      <c r="AN135" s="286"/>
      <c r="AO135" s="507"/>
      <c r="AP135" s="907"/>
      <c r="AQ135" s="634"/>
      <c r="AR135" s="606"/>
      <c r="AS135" s="394"/>
      <c r="AT135" s="393"/>
      <c r="AU135" s="395"/>
      <c r="AV135" s="278"/>
      <c r="AW135" s="278"/>
      <c r="AX135" s="278"/>
      <c r="AY135" s="278"/>
      <c r="AZ135" s="278"/>
      <c r="BA135" s="278"/>
      <c r="BB135" s="278"/>
      <c r="BC135" s="278"/>
      <c r="BD135" s="278"/>
    </row>
    <row r="136" spans="1:56">
      <c r="A136" s="869"/>
      <c r="B136" s="870"/>
      <c r="C136" s="891"/>
      <c r="D136" s="892"/>
      <c r="E136" s="873"/>
      <c r="F136" s="874"/>
      <c r="G136" s="507"/>
      <c r="H136" s="507"/>
      <c r="I136" s="512"/>
      <c r="J136" s="136"/>
      <c r="K136" s="518"/>
      <c r="L136" s="625"/>
      <c r="M136" s="507"/>
      <c r="N136" s="507"/>
      <c r="O136" s="507"/>
      <c r="P136" s="287"/>
      <c r="Q136" s="513"/>
      <c r="R136" s="508"/>
      <c r="S136" s="507"/>
      <c r="T136" s="507"/>
      <c r="U136" s="507"/>
      <c r="V136" s="287"/>
      <c r="W136" s="274"/>
      <c r="X136" s="508"/>
      <c r="Y136" s="507"/>
      <c r="Z136" s="507"/>
      <c r="AA136" s="507"/>
      <c r="AB136" s="286"/>
      <c r="AC136" s="274"/>
      <c r="AD136" s="509"/>
      <c r="AE136" s="507"/>
      <c r="AF136" s="507"/>
      <c r="AG136" s="513"/>
      <c r="AH136" s="288"/>
      <c r="AI136" s="513"/>
      <c r="AJ136" s="626"/>
      <c r="AK136" s="507"/>
      <c r="AL136" s="507"/>
      <c r="AM136" s="865" t="s">
        <v>31</v>
      </c>
      <c r="AN136" s="286">
        <v>1.4</v>
      </c>
      <c r="AO136" s="518" t="s">
        <v>17</v>
      </c>
      <c r="AP136" s="907">
        <v>84000</v>
      </c>
      <c r="AQ136" s="634"/>
      <c r="AR136" s="606"/>
      <c r="AS136" s="394"/>
      <c r="AT136" s="393"/>
      <c r="AU136" s="395"/>
      <c r="AV136" s="278"/>
      <c r="AW136" s="278"/>
      <c r="AX136" s="278"/>
      <c r="AY136" s="278"/>
      <c r="AZ136" s="278"/>
      <c r="BA136" s="278"/>
      <c r="BB136" s="278"/>
      <c r="BC136" s="278"/>
      <c r="BD136" s="278"/>
    </row>
    <row r="137" spans="1:56">
      <c r="A137" s="869"/>
      <c r="B137" s="870"/>
      <c r="C137" s="891"/>
      <c r="D137" s="892"/>
      <c r="E137" s="873"/>
      <c r="F137" s="874"/>
      <c r="G137" s="507"/>
      <c r="H137" s="507"/>
      <c r="I137" s="512"/>
      <c r="J137" s="136"/>
      <c r="K137" s="518"/>
      <c r="L137" s="625"/>
      <c r="M137" s="507"/>
      <c r="N137" s="507"/>
      <c r="O137" s="507"/>
      <c r="P137" s="287"/>
      <c r="Q137" s="513"/>
      <c r="R137" s="508"/>
      <c r="S137" s="507"/>
      <c r="T137" s="507"/>
      <c r="U137" s="507"/>
      <c r="V137" s="287"/>
      <c r="W137" s="274"/>
      <c r="X137" s="508"/>
      <c r="Y137" s="507"/>
      <c r="Z137" s="507"/>
      <c r="AA137" s="507"/>
      <c r="AB137" s="286"/>
      <c r="AC137" s="274"/>
      <c r="AD137" s="509"/>
      <c r="AE137" s="507"/>
      <c r="AF137" s="507"/>
      <c r="AG137" s="513"/>
      <c r="AH137" s="288"/>
      <c r="AI137" s="513"/>
      <c r="AJ137" s="626"/>
      <c r="AK137" s="507"/>
      <c r="AL137" s="507"/>
      <c r="AM137" s="865"/>
      <c r="AN137" s="286">
        <f>F134/E134*AN136</f>
        <v>9800</v>
      </c>
      <c r="AO137" s="507" t="s">
        <v>32</v>
      </c>
      <c r="AP137" s="907"/>
      <c r="AQ137" s="634"/>
      <c r="AR137" s="606"/>
      <c r="AS137" s="394"/>
      <c r="AT137" s="393"/>
      <c r="AU137" s="395"/>
      <c r="AV137" s="278"/>
      <c r="AW137" s="278"/>
      <c r="AX137" s="278"/>
      <c r="AY137" s="278"/>
      <c r="AZ137" s="278"/>
      <c r="BA137" s="278"/>
      <c r="BB137" s="278"/>
      <c r="BC137" s="278"/>
      <c r="BD137" s="278"/>
    </row>
    <row r="138" spans="1:56">
      <c r="A138" s="869">
        <v>36</v>
      </c>
      <c r="B138" s="870" t="s">
        <v>501</v>
      </c>
      <c r="C138" s="891" t="s">
        <v>502</v>
      </c>
      <c r="D138" s="892" t="s">
        <v>503</v>
      </c>
      <c r="E138" s="873">
        <v>58.877000000000002</v>
      </c>
      <c r="F138" s="874">
        <v>423914.4</v>
      </c>
      <c r="G138" s="865"/>
      <c r="H138" s="865"/>
      <c r="I138" s="893"/>
      <c r="J138" s="133"/>
      <c r="K138" s="518"/>
      <c r="L138" s="866"/>
      <c r="M138" s="865"/>
      <c r="N138" s="865"/>
      <c r="O138" s="865"/>
      <c r="P138" s="286"/>
      <c r="Q138" s="518"/>
      <c r="R138" s="866"/>
      <c r="S138" s="865" t="s">
        <v>506</v>
      </c>
      <c r="T138" s="865" t="s">
        <v>507</v>
      </c>
      <c r="U138" s="865" t="s">
        <v>31</v>
      </c>
      <c r="V138" s="286">
        <v>11</v>
      </c>
      <c r="W138" s="518" t="s">
        <v>17</v>
      </c>
      <c r="X138" s="866">
        <v>508560</v>
      </c>
      <c r="Y138" s="865" t="s">
        <v>507</v>
      </c>
      <c r="Z138" s="865" t="s">
        <v>2976</v>
      </c>
      <c r="AA138" s="865" t="s">
        <v>31</v>
      </c>
      <c r="AB138" s="286">
        <v>1.1000000000000001</v>
      </c>
      <c r="AC138" s="518" t="s">
        <v>17</v>
      </c>
      <c r="AD138" s="907">
        <v>47200</v>
      </c>
      <c r="AE138" s="507"/>
      <c r="AF138" s="507"/>
      <c r="AG138" s="865"/>
      <c r="AH138" s="286"/>
      <c r="AI138" s="518"/>
      <c r="AJ138" s="907"/>
      <c r="AK138" s="865"/>
      <c r="AL138" s="865"/>
      <c r="AM138" s="865" t="s">
        <v>31</v>
      </c>
      <c r="AN138" s="286">
        <v>3</v>
      </c>
      <c r="AO138" s="518" t="s">
        <v>17</v>
      </c>
      <c r="AP138" s="907">
        <v>180000</v>
      </c>
      <c r="AQ138" s="634"/>
      <c r="AR138" s="606"/>
      <c r="AS138" s="394"/>
      <c r="AT138" s="393"/>
      <c r="AU138" s="395"/>
      <c r="AV138" s="278"/>
      <c r="AW138" s="278"/>
      <c r="AX138" s="278"/>
      <c r="AY138" s="278"/>
      <c r="AZ138" s="278"/>
      <c r="BA138" s="278"/>
      <c r="BB138" s="278"/>
      <c r="BC138" s="278"/>
      <c r="BD138" s="278"/>
    </row>
    <row r="139" spans="1:56">
      <c r="A139" s="869"/>
      <c r="B139" s="870"/>
      <c r="C139" s="891"/>
      <c r="D139" s="892"/>
      <c r="E139" s="873"/>
      <c r="F139" s="874"/>
      <c r="G139" s="865"/>
      <c r="H139" s="865"/>
      <c r="I139" s="894"/>
      <c r="J139" s="534"/>
      <c r="K139" s="507"/>
      <c r="L139" s="866"/>
      <c r="M139" s="865"/>
      <c r="N139" s="865"/>
      <c r="O139" s="865"/>
      <c r="P139" s="287"/>
      <c r="Q139" s="507"/>
      <c r="R139" s="866"/>
      <c r="S139" s="865"/>
      <c r="T139" s="865"/>
      <c r="U139" s="865"/>
      <c r="V139" s="287">
        <f>F138/E138*V138</f>
        <v>79200</v>
      </c>
      <c r="W139" s="507" t="s">
        <v>32</v>
      </c>
      <c r="X139" s="866"/>
      <c r="Y139" s="865"/>
      <c r="Z139" s="865"/>
      <c r="AA139" s="865"/>
      <c r="AB139" s="287">
        <f>F138/E138*AB138</f>
        <v>7920.0000000000009</v>
      </c>
      <c r="AC139" s="507" t="s">
        <v>32</v>
      </c>
      <c r="AD139" s="907"/>
      <c r="AE139" s="507"/>
      <c r="AF139" s="507"/>
      <c r="AG139" s="865"/>
      <c r="AH139" s="287"/>
      <c r="AI139" s="507"/>
      <c r="AJ139" s="907"/>
      <c r="AK139" s="865"/>
      <c r="AL139" s="865"/>
      <c r="AM139" s="865"/>
      <c r="AN139" s="286">
        <f>F138/E138*AN138</f>
        <v>21600</v>
      </c>
      <c r="AO139" s="507" t="s">
        <v>32</v>
      </c>
      <c r="AP139" s="907"/>
      <c r="AQ139" s="634"/>
      <c r="AR139" s="606"/>
      <c r="AS139" s="394"/>
      <c r="AT139" s="393"/>
      <c r="AU139" s="395"/>
      <c r="AV139" s="278"/>
      <c r="AW139" s="278"/>
      <c r="AX139" s="278"/>
      <c r="AY139" s="278"/>
      <c r="AZ139" s="278"/>
      <c r="BA139" s="278"/>
      <c r="BB139" s="278"/>
      <c r="BC139" s="278"/>
      <c r="BD139" s="278"/>
    </row>
    <row r="140" spans="1:56">
      <c r="A140" s="869"/>
      <c r="B140" s="870"/>
      <c r="C140" s="891"/>
      <c r="D140" s="892"/>
      <c r="E140" s="873"/>
      <c r="F140" s="874"/>
      <c r="G140" s="507"/>
      <c r="H140" s="507"/>
      <c r="I140" s="512"/>
      <c r="J140" s="534"/>
      <c r="K140" s="507"/>
      <c r="L140" s="508"/>
      <c r="M140" s="518"/>
      <c r="N140" s="513"/>
      <c r="O140" s="513"/>
      <c r="P140" s="288"/>
      <c r="Q140" s="513"/>
      <c r="R140" s="605"/>
      <c r="S140" s="865" t="s">
        <v>508</v>
      </c>
      <c r="T140" s="865" t="s">
        <v>506</v>
      </c>
      <c r="U140" s="865" t="s">
        <v>31</v>
      </c>
      <c r="V140" s="286">
        <v>2</v>
      </c>
      <c r="W140" s="518" t="s">
        <v>17</v>
      </c>
      <c r="X140" s="866">
        <v>78240</v>
      </c>
      <c r="Y140" s="914"/>
      <c r="Z140" s="914"/>
      <c r="AA140" s="132"/>
      <c r="AB140" s="517"/>
      <c r="AC140" s="518"/>
      <c r="AD140" s="626"/>
      <c r="AE140" s="507"/>
      <c r="AF140" s="507"/>
      <c r="AG140" s="865"/>
      <c r="AH140" s="286"/>
      <c r="AI140" s="518"/>
      <c r="AJ140" s="907"/>
      <c r="AK140" s="507"/>
      <c r="AL140" s="507"/>
      <c r="AM140" s="507"/>
      <c r="AN140" s="286"/>
      <c r="AO140" s="507"/>
      <c r="AP140" s="509"/>
      <c r="AQ140" s="634"/>
      <c r="AR140" s="606"/>
      <c r="AS140" s="394"/>
      <c r="AT140" s="393"/>
      <c r="AU140" s="395"/>
      <c r="AV140" s="278"/>
      <c r="AW140" s="278"/>
      <c r="AX140" s="278"/>
      <c r="AY140" s="278"/>
      <c r="AZ140" s="278"/>
      <c r="BA140" s="278"/>
      <c r="BB140" s="278"/>
      <c r="BC140" s="278"/>
      <c r="BD140" s="278"/>
    </row>
    <row r="141" spans="1:56">
      <c r="A141" s="869"/>
      <c r="B141" s="870"/>
      <c r="C141" s="891"/>
      <c r="D141" s="892"/>
      <c r="E141" s="873"/>
      <c r="F141" s="874"/>
      <c r="G141" s="507"/>
      <c r="H141" s="507"/>
      <c r="I141" s="512"/>
      <c r="J141" s="534"/>
      <c r="K141" s="507"/>
      <c r="L141" s="508"/>
      <c r="M141" s="518"/>
      <c r="N141" s="513"/>
      <c r="O141" s="513"/>
      <c r="P141" s="288"/>
      <c r="Q141" s="513"/>
      <c r="R141" s="605"/>
      <c r="S141" s="865"/>
      <c r="T141" s="865"/>
      <c r="U141" s="865"/>
      <c r="V141" s="287">
        <f>V140*F138/E138</f>
        <v>14400</v>
      </c>
      <c r="W141" s="507" t="s">
        <v>32</v>
      </c>
      <c r="X141" s="866"/>
      <c r="Y141" s="507"/>
      <c r="Z141" s="507"/>
      <c r="AA141" s="507"/>
      <c r="AB141" s="287"/>
      <c r="AC141" s="507"/>
      <c r="AD141" s="509"/>
      <c r="AE141" s="507"/>
      <c r="AF141" s="507"/>
      <c r="AG141" s="865"/>
      <c r="AH141" s="286"/>
      <c r="AI141" s="507"/>
      <c r="AJ141" s="907"/>
      <c r="AK141" s="507"/>
      <c r="AL141" s="507"/>
      <c r="AM141" s="507"/>
      <c r="AN141" s="286"/>
      <c r="AO141" s="507"/>
      <c r="AP141" s="509"/>
      <c r="AQ141" s="634"/>
      <c r="AR141" s="606"/>
      <c r="AS141" s="394"/>
      <c r="AT141" s="393"/>
      <c r="AU141" s="395"/>
      <c r="AV141" s="278"/>
      <c r="AW141" s="278"/>
      <c r="AX141" s="278"/>
      <c r="AY141" s="278"/>
      <c r="AZ141" s="278"/>
      <c r="BA141" s="278"/>
      <c r="BB141" s="278"/>
      <c r="BC141" s="278"/>
      <c r="BD141" s="278"/>
    </row>
    <row r="142" spans="1:56">
      <c r="A142" s="869"/>
      <c r="B142" s="870"/>
      <c r="C142" s="891"/>
      <c r="D142" s="892"/>
      <c r="E142" s="873"/>
      <c r="F142" s="874"/>
      <c r="G142" s="507"/>
      <c r="H142" s="507"/>
      <c r="I142" s="512"/>
      <c r="J142" s="534"/>
      <c r="K142" s="507"/>
      <c r="L142" s="508"/>
      <c r="M142" s="518"/>
      <c r="N142" s="513"/>
      <c r="O142" s="513"/>
      <c r="P142" s="288"/>
      <c r="Q142" s="513"/>
      <c r="R142" s="605"/>
      <c r="S142" s="865" t="s">
        <v>505</v>
      </c>
      <c r="T142" s="865" t="s">
        <v>508</v>
      </c>
      <c r="U142" s="865" t="s">
        <v>116</v>
      </c>
      <c r="V142" s="286">
        <v>1.2</v>
      </c>
      <c r="W142" s="518" t="s">
        <v>17</v>
      </c>
      <c r="X142" s="866">
        <v>80000</v>
      </c>
      <c r="Y142" s="507"/>
      <c r="Z142" s="507"/>
      <c r="AA142" s="507"/>
      <c r="AB142" s="287"/>
      <c r="AC142" s="507"/>
      <c r="AD142" s="509"/>
      <c r="AE142" s="515"/>
      <c r="AF142" s="515"/>
      <c r="AG142" s="132"/>
      <c r="AH142" s="517"/>
      <c r="AI142" s="518"/>
      <c r="AJ142" s="626"/>
      <c r="AK142" s="507"/>
      <c r="AL142" s="507"/>
      <c r="AM142" s="507"/>
      <c r="AN142" s="286"/>
      <c r="AO142" s="507"/>
      <c r="AP142" s="509"/>
      <c r="AQ142" s="634"/>
      <c r="AR142" s="606"/>
      <c r="AS142" s="394"/>
      <c r="AT142" s="393"/>
      <c r="AU142" s="395"/>
      <c r="AV142" s="278"/>
      <c r="AW142" s="278"/>
      <c r="AX142" s="278"/>
      <c r="AY142" s="278"/>
      <c r="AZ142" s="278"/>
      <c r="BA142" s="278"/>
      <c r="BB142" s="278"/>
      <c r="BC142" s="278"/>
      <c r="BD142" s="278"/>
    </row>
    <row r="143" spans="1:56">
      <c r="A143" s="869"/>
      <c r="B143" s="870"/>
      <c r="C143" s="891"/>
      <c r="D143" s="892"/>
      <c r="E143" s="873"/>
      <c r="F143" s="874"/>
      <c r="G143" s="507"/>
      <c r="H143" s="507"/>
      <c r="I143" s="512"/>
      <c r="J143" s="534"/>
      <c r="K143" s="507"/>
      <c r="L143" s="508"/>
      <c r="M143" s="518"/>
      <c r="N143" s="513"/>
      <c r="O143" s="513"/>
      <c r="P143" s="288"/>
      <c r="Q143" s="513"/>
      <c r="R143" s="605"/>
      <c r="S143" s="865"/>
      <c r="T143" s="865"/>
      <c r="U143" s="865"/>
      <c r="V143" s="287">
        <f>F138/E138*V142</f>
        <v>8640</v>
      </c>
      <c r="W143" s="507" t="s">
        <v>32</v>
      </c>
      <c r="X143" s="866"/>
      <c r="Y143" s="507"/>
      <c r="Z143" s="507"/>
      <c r="AA143" s="507"/>
      <c r="AB143" s="287"/>
      <c r="AC143" s="507"/>
      <c r="AD143" s="509"/>
      <c r="AE143" s="507"/>
      <c r="AF143" s="507"/>
      <c r="AG143" s="507"/>
      <c r="AH143" s="286"/>
      <c r="AI143" s="507"/>
      <c r="AJ143" s="509"/>
      <c r="AK143" s="507"/>
      <c r="AL143" s="507"/>
      <c r="AM143" s="507"/>
      <c r="AN143" s="286"/>
      <c r="AO143" s="507"/>
      <c r="AP143" s="509"/>
      <c r="AQ143" s="634"/>
      <c r="AR143" s="606"/>
      <c r="AS143" s="394"/>
      <c r="AT143" s="393"/>
      <c r="AU143" s="395"/>
      <c r="AV143" s="278"/>
      <c r="AW143" s="278"/>
      <c r="AX143" s="278"/>
      <c r="AY143" s="278"/>
      <c r="AZ143" s="278"/>
      <c r="BA143" s="278"/>
      <c r="BB143" s="278"/>
      <c r="BC143" s="278"/>
      <c r="BD143" s="278"/>
    </row>
    <row r="144" spans="1:56">
      <c r="A144" s="869">
        <v>37</v>
      </c>
      <c r="B144" s="870" t="s">
        <v>501</v>
      </c>
      <c r="C144" s="891" t="s">
        <v>509</v>
      </c>
      <c r="D144" s="892" t="s">
        <v>503</v>
      </c>
      <c r="E144" s="873">
        <v>27.59</v>
      </c>
      <c r="F144" s="874">
        <v>193130</v>
      </c>
      <c r="G144" s="865" t="s">
        <v>510</v>
      </c>
      <c r="H144" s="865" t="s">
        <v>511</v>
      </c>
      <c r="I144" s="893" t="s">
        <v>68</v>
      </c>
      <c r="J144" s="895">
        <v>4220</v>
      </c>
      <c r="K144" s="977" t="s">
        <v>2681</v>
      </c>
      <c r="L144" s="866">
        <f>14450</f>
        <v>14450</v>
      </c>
      <c r="M144" s="507"/>
      <c r="N144" s="507"/>
      <c r="O144" s="507"/>
      <c r="P144" s="287"/>
      <c r="Q144" s="513"/>
      <c r="R144" s="508"/>
      <c r="S144" s="507"/>
      <c r="T144" s="507"/>
      <c r="U144" s="515"/>
      <c r="V144" s="287"/>
      <c r="W144" s="274"/>
      <c r="X144" s="336"/>
      <c r="Y144" s="507"/>
      <c r="Z144" s="507"/>
      <c r="AA144" s="507" t="s">
        <v>482</v>
      </c>
      <c r="AB144" s="286"/>
      <c r="AC144" s="274"/>
      <c r="AD144" s="509"/>
      <c r="AE144" s="865"/>
      <c r="AF144" s="865"/>
      <c r="AG144" s="865" t="s">
        <v>31</v>
      </c>
      <c r="AH144" s="286">
        <v>3</v>
      </c>
      <c r="AI144" s="518" t="s">
        <v>17</v>
      </c>
      <c r="AJ144" s="907">
        <v>180000</v>
      </c>
      <c r="AK144" s="507"/>
      <c r="AL144" s="507"/>
      <c r="AM144" s="507" t="s">
        <v>482</v>
      </c>
      <c r="AN144" s="286"/>
      <c r="AO144" s="507"/>
      <c r="AP144" s="509"/>
      <c r="AQ144" s="634"/>
      <c r="AR144" s="606"/>
      <c r="AS144" s="394"/>
      <c r="AT144" s="393"/>
      <c r="AU144" s="395"/>
      <c r="AV144" s="278"/>
      <c r="AW144" s="278"/>
      <c r="AX144" s="278"/>
      <c r="AY144" s="278"/>
      <c r="AZ144" s="278"/>
      <c r="BA144" s="278"/>
      <c r="BB144" s="278"/>
      <c r="BC144" s="278"/>
      <c r="BD144" s="278"/>
    </row>
    <row r="145" spans="1:56">
      <c r="A145" s="869"/>
      <c r="B145" s="870"/>
      <c r="C145" s="891"/>
      <c r="D145" s="892"/>
      <c r="E145" s="873"/>
      <c r="F145" s="874"/>
      <c r="G145" s="865"/>
      <c r="H145" s="865"/>
      <c r="I145" s="894"/>
      <c r="J145" s="895"/>
      <c r="K145" s="977"/>
      <c r="L145" s="866"/>
      <c r="M145" s="507"/>
      <c r="N145" s="507"/>
      <c r="O145" s="507"/>
      <c r="P145" s="287"/>
      <c r="Q145" s="513"/>
      <c r="R145" s="508"/>
      <c r="S145" s="507"/>
      <c r="T145" s="507"/>
      <c r="U145" s="515"/>
      <c r="V145" s="287"/>
      <c r="W145" s="274"/>
      <c r="X145" s="336"/>
      <c r="Y145" s="507"/>
      <c r="Z145" s="507"/>
      <c r="AA145" s="507"/>
      <c r="AB145" s="286"/>
      <c r="AC145" s="274"/>
      <c r="AD145" s="509"/>
      <c r="AE145" s="865"/>
      <c r="AF145" s="865"/>
      <c r="AG145" s="865"/>
      <c r="AH145" s="286">
        <f>F144/E144*AH144</f>
        <v>21000</v>
      </c>
      <c r="AI145" s="507" t="s">
        <v>32</v>
      </c>
      <c r="AJ145" s="907"/>
      <c r="AK145" s="507"/>
      <c r="AL145" s="507"/>
      <c r="AM145" s="507"/>
      <c r="AN145" s="286"/>
      <c r="AO145" s="507"/>
      <c r="AP145" s="509"/>
      <c r="AQ145" s="634"/>
      <c r="AR145" s="606"/>
      <c r="AS145" s="394"/>
      <c r="AT145" s="393"/>
      <c r="AU145" s="395"/>
      <c r="AV145" s="278"/>
      <c r="AW145" s="278"/>
      <c r="AX145" s="278"/>
      <c r="AY145" s="278"/>
      <c r="AZ145" s="278"/>
      <c r="BA145" s="278"/>
      <c r="BB145" s="278"/>
      <c r="BC145" s="278"/>
      <c r="BD145" s="278"/>
    </row>
    <row r="146" spans="1:56">
      <c r="A146" s="869"/>
      <c r="B146" s="870"/>
      <c r="C146" s="891"/>
      <c r="D146" s="892"/>
      <c r="E146" s="873"/>
      <c r="F146" s="874"/>
      <c r="G146" s="507"/>
      <c r="H146" s="507"/>
      <c r="I146" s="511"/>
      <c r="J146" s="274"/>
      <c r="K146" s="518"/>
      <c r="L146" s="508"/>
      <c r="M146" s="507"/>
      <c r="N146" s="507"/>
      <c r="O146" s="507"/>
      <c r="P146" s="287"/>
      <c r="Q146" s="513"/>
      <c r="R146" s="508"/>
      <c r="S146" s="507"/>
      <c r="T146" s="507"/>
      <c r="U146" s="515"/>
      <c r="V146" s="287"/>
      <c r="W146" s="274"/>
      <c r="X146" s="336"/>
      <c r="Y146" s="507"/>
      <c r="Z146" s="507"/>
      <c r="AA146" s="507"/>
      <c r="AB146" s="286"/>
      <c r="AC146" s="274"/>
      <c r="AD146" s="509"/>
      <c r="AE146" s="908"/>
      <c r="AF146" s="908"/>
      <c r="AG146" s="914"/>
      <c r="AH146" s="976"/>
      <c r="AI146" s="977"/>
      <c r="AJ146" s="978"/>
      <c r="AK146" s="507"/>
      <c r="AL146" s="507"/>
      <c r="AM146" s="507"/>
      <c r="AN146" s="286"/>
      <c r="AO146" s="507"/>
      <c r="AP146" s="509"/>
      <c r="AQ146" s="634"/>
      <c r="AR146" s="606"/>
      <c r="AS146" s="394"/>
      <c r="AT146" s="393"/>
      <c r="AU146" s="395"/>
      <c r="AV146" s="278"/>
      <c r="AW146" s="278"/>
      <c r="AX146" s="278"/>
      <c r="AY146" s="278"/>
      <c r="AZ146" s="278"/>
      <c r="BA146" s="278"/>
      <c r="BB146" s="278"/>
      <c r="BC146" s="278"/>
      <c r="BD146" s="278"/>
    </row>
    <row r="147" spans="1:56">
      <c r="A147" s="869"/>
      <c r="B147" s="870"/>
      <c r="C147" s="891"/>
      <c r="D147" s="892"/>
      <c r="E147" s="873"/>
      <c r="F147" s="874"/>
      <c r="G147" s="507"/>
      <c r="H147" s="507"/>
      <c r="I147" s="512"/>
      <c r="J147" s="274"/>
      <c r="K147" s="518"/>
      <c r="L147" s="508"/>
      <c r="M147" s="507"/>
      <c r="N147" s="507"/>
      <c r="O147" s="507"/>
      <c r="P147" s="287"/>
      <c r="Q147" s="513"/>
      <c r="R147" s="508"/>
      <c r="S147" s="507"/>
      <c r="T147" s="507"/>
      <c r="U147" s="515"/>
      <c r="V147" s="287"/>
      <c r="W147" s="274"/>
      <c r="X147" s="336"/>
      <c r="Y147" s="507"/>
      <c r="Z147" s="507"/>
      <c r="AA147" s="507"/>
      <c r="AB147" s="286"/>
      <c r="AC147" s="274"/>
      <c r="AD147" s="509"/>
      <c r="AE147" s="908"/>
      <c r="AF147" s="908"/>
      <c r="AG147" s="914"/>
      <c r="AH147" s="976"/>
      <c r="AI147" s="977"/>
      <c r="AJ147" s="978"/>
      <c r="AK147" s="507"/>
      <c r="AL147" s="507"/>
      <c r="AM147" s="507"/>
      <c r="AN147" s="286"/>
      <c r="AO147" s="507"/>
      <c r="AP147" s="509"/>
      <c r="AQ147" s="634"/>
      <c r="AR147" s="606"/>
      <c r="AS147" s="394"/>
      <c r="AT147" s="393"/>
      <c r="AU147" s="395"/>
      <c r="AV147" s="278"/>
      <c r="AW147" s="278"/>
      <c r="AX147" s="278"/>
      <c r="AY147" s="278"/>
      <c r="AZ147" s="278"/>
      <c r="BA147" s="278"/>
      <c r="BB147" s="278"/>
      <c r="BC147" s="278"/>
      <c r="BD147" s="278"/>
    </row>
    <row r="148" spans="1:56">
      <c r="A148" s="869">
        <v>38</v>
      </c>
      <c r="B148" s="870" t="s">
        <v>501</v>
      </c>
      <c r="C148" s="891" t="s">
        <v>512</v>
      </c>
      <c r="D148" s="892" t="s">
        <v>503</v>
      </c>
      <c r="E148" s="873">
        <v>12.548</v>
      </c>
      <c r="F148" s="874">
        <v>90722.040000000008</v>
      </c>
      <c r="G148" s="514"/>
      <c r="H148" s="514"/>
      <c r="I148" s="328"/>
      <c r="J148" s="324"/>
      <c r="K148" s="514"/>
      <c r="L148" s="627"/>
      <c r="M148" s="865"/>
      <c r="N148" s="865"/>
      <c r="O148" s="865"/>
      <c r="P148" s="286"/>
      <c r="Q148" s="518"/>
      <c r="R148" s="866"/>
      <c r="S148" s="507"/>
      <c r="T148" s="507"/>
      <c r="U148" s="507" t="s">
        <v>482</v>
      </c>
      <c r="V148" s="287"/>
      <c r="W148" s="274"/>
      <c r="X148" s="508"/>
      <c r="Y148" s="507"/>
      <c r="Z148" s="507"/>
      <c r="AA148" s="507" t="s">
        <v>482</v>
      </c>
      <c r="AB148" s="286"/>
      <c r="AC148" s="274"/>
      <c r="AD148" s="509"/>
      <c r="AE148" s="507"/>
      <c r="AF148" s="507"/>
      <c r="AG148" s="507" t="s">
        <v>482</v>
      </c>
      <c r="AH148" s="286"/>
      <c r="AI148" s="507"/>
      <c r="AJ148" s="509"/>
      <c r="AK148" s="865"/>
      <c r="AL148" s="865"/>
      <c r="AM148" s="907" t="s">
        <v>31</v>
      </c>
      <c r="AN148" s="517">
        <v>3.5</v>
      </c>
      <c r="AO148" s="518" t="s">
        <v>17</v>
      </c>
      <c r="AP148" s="978">
        <v>210000</v>
      </c>
      <c r="AQ148" s="634"/>
      <c r="AR148" s="606"/>
      <c r="AS148" s="394"/>
      <c r="AT148" s="393"/>
      <c r="AU148" s="395"/>
      <c r="AV148" s="278"/>
      <c r="AW148" s="278"/>
      <c r="AX148" s="278"/>
      <c r="AY148" s="278"/>
      <c r="AZ148" s="278"/>
      <c r="BA148" s="278"/>
      <c r="BB148" s="278"/>
      <c r="BC148" s="278"/>
      <c r="BD148" s="278"/>
    </row>
    <row r="149" spans="1:56">
      <c r="A149" s="869"/>
      <c r="B149" s="870"/>
      <c r="C149" s="891"/>
      <c r="D149" s="892"/>
      <c r="E149" s="873"/>
      <c r="F149" s="874"/>
      <c r="G149" s="514"/>
      <c r="H149" s="514"/>
      <c r="I149" s="328"/>
      <c r="J149" s="324"/>
      <c r="K149" s="514"/>
      <c r="L149" s="627"/>
      <c r="M149" s="865"/>
      <c r="N149" s="865"/>
      <c r="O149" s="975"/>
      <c r="P149" s="287"/>
      <c r="Q149" s="507"/>
      <c r="R149" s="866"/>
      <c r="S149" s="507"/>
      <c r="T149" s="507"/>
      <c r="U149" s="507"/>
      <c r="V149" s="287"/>
      <c r="W149" s="274"/>
      <c r="X149" s="508"/>
      <c r="Y149" s="507"/>
      <c r="Z149" s="507"/>
      <c r="AA149" s="507"/>
      <c r="AB149" s="286"/>
      <c r="AC149" s="274"/>
      <c r="AD149" s="509"/>
      <c r="AE149" s="507"/>
      <c r="AF149" s="507"/>
      <c r="AG149" s="507"/>
      <c r="AH149" s="286"/>
      <c r="AI149" s="507"/>
      <c r="AJ149" s="509"/>
      <c r="AK149" s="865"/>
      <c r="AL149" s="865"/>
      <c r="AM149" s="907"/>
      <c r="AN149" s="517">
        <f>F148/E148*AN148</f>
        <v>25305.000000000004</v>
      </c>
      <c r="AO149" s="507" t="s">
        <v>32</v>
      </c>
      <c r="AP149" s="978"/>
      <c r="AQ149" s="634"/>
      <c r="AR149" s="606"/>
      <c r="AS149" s="394"/>
      <c r="AT149" s="393"/>
      <c r="AU149" s="395"/>
      <c r="AV149" s="278"/>
      <c r="AW149" s="278"/>
      <c r="AX149" s="278"/>
      <c r="AY149" s="278"/>
      <c r="AZ149" s="278"/>
      <c r="BA149" s="278"/>
      <c r="BB149" s="278"/>
      <c r="BC149" s="278"/>
      <c r="BD149" s="278"/>
    </row>
    <row r="150" spans="1:56">
      <c r="A150" s="869"/>
      <c r="B150" s="870"/>
      <c r="C150" s="891"/>
      <c r="D150" s="892"/>
      <c r="E150" s="873"/>
      <c r="F150" s="874"/>
      <c r="G150" s="514"/>
      <c r="H150" s="514"/>
      <c r="I150" s="328"/>
      <c r="J150" s="324"/>
      <c r="K150" s="514"/>
      <c r="L150" s="627"/>
      <c r="M150" s="507"/>
      <c r="N150" s="507"/>
      <c r="O150" s="520"/>
      <c r="P150" s="287"/>
      <c r="Q150" s="507"/>
      <c r="R150" s="508"/>
      <c r="S150" s="507"/>
      <c r="T150" s="507"/>
      <c r="U150" s="507"/>
      <c r="V150" s="287"/>
      <c r="W150" s="274"/>
      <c r="X150" s="508"/>
      <c r="Y150" s="507"/>
      <c r="Z150" s="507"/>
      <c r="AA150" s="507"/>
      <c r="AB150" s="286"/>
      <c r="AC150" s="274"/>
      <c r="AD150" s="509"/>
      <c r="AE150" s="507"/>
      <c r="AF150" s="507"/>
      <c r="AG150" s="507"/>
      <c r="AH150" s="286"/>
      <c r="AI150" s="507"/>
      <c r="AJ150" s="509"/>
      <c r="AK150" s="507"/>
      <c r="AL150" s="507"/>
      <c r="AM150" s="509"/>
      <c r="AN150" s="517"/>
      <c r="AO150" s="507"/>
      <c r="AP150" s="623"/>
      <c r="AQ150" s="634"/>
      <c r="AR150" s="606"/>
      <c r="AS150" s="394"/>
      <c r="AT150" s="393"/>
      <c r="AU150" s="395"/>
      <c r="AV150" s="278"/>
      <c r="AW150" s="278"/>
      <c r="AX150" s="278"/>
      <c r="AY150" s="278"/>
      <c r="AZ150" s="278"/>
      <c r="BA150" s="278"/>
      <c r="BB150" s="278"/>
      <c r="BC150" s="278"/>
      <c r="BD150" s="278"/>
    </row>
    <row r="151" spans="1:56" ht="44.25" customHeight="1">
      <c r="A151" s="869">
        <v>39</v>
      </c>
      <c r="B151" s="870" t="s">
        <v>514</v>
      </c>
      <c r="C151" s="891" t="s">
        <v>515</v>
      </c>
      <c r="D151" s="892" t="s">
        <v>516</v>
      </c>
      <c r="E151" s="873">
        <v>26.63</v>
      </c>
      <c r="F151" s="874">
        <v>206382.5</v>
      </c>
      <c r="G151" s="865"/>
      <c r="H151" s="507"/>
      <c r="I151" s="511"/>
      <c r="J151" s="534"/>
      <c r="K151" s="518"/>
      <c r="L151" s="508"/>
      <c r="M151" s="865"/>
      <c r="N151" s="865"/>
      <c r="O151" s="865"/>
      <c r="P151" s="286"/>
      <c r="Q151" s="518"/>
      <c r="R151" s="866"/>
      <c r="S151" s="507"/>
      <c r="T151" s="507"/>
      <c r="U151" s="507"/>
      <c r="V151" s="287"/>
      <c r="W151" s="274"/>
      <c r="X151" s="508"/>
      <c r="Y151" s="507"/>
      <c r="Z151" s="507"/>
      <c r="AA151" s="507"/>
      <c r="AB151" s="286"/>
      <c r="AC151" s="274"/>
      <c r="AD151" s="509"/>
      <c r="AE151" s="507"/>
      <c r="AF151" s="507"/>
      <c r="AG151" s="507" t="s">
        <v>482</v>
      </c>
      <c r="AH151" s="286"/>
      <c r="AI151" s="507"/>
      <c r="AJ151" s="509"/>
      <c r="AK151" s="507"/>
      <c r="AL151" s="507"/>
      <c r="AM151" s="907" t="s">
        <v>31</v>
      </c>
      <c r="AN151" s="517">
        <v>0.35</v>
      </c>
      <c r="AO151" s="518" t="s">
        <v>17</v>
      </c>
      <c r="AP151" s="978">
        <v>24000</v>
      </c>
      <c r="AQ151" s="634"/>
      <c r="AR151" s="606"/>
      <c r="AS151" s="394"/>
      <c r="AT151" s="393"/>
      <c r="AU151" s="395"/>
      <c r="AV151" s="278"/>
      <c r="AW151" s="278"/>
      <c r="AX151" s="278"/>
      <c r="AY151" s="278"/>
      <c r="AZ151" s="278"/>
      <c r="BA151" s="278"/>
      <c r="BB151" s="278"/>
      <c r="BC151" s="278"/>
      <c r="BD151" s="278"/>
    </row>
    <row r="152" spans="1:56" ht="44.25" customHeight="1">
      <c r="A152" s="869"/>
      <c r="B152" s="870"/>
      <c r="C152" s="891"/>
      <c r="D152" s="892"/>
      <c r="E152" s="873"/>
      <c r="F152" s="874"/>
      <c r="G152" s="865"/>
      <c r="H152" s="507"/>
      <c r="I152" s="511"/>
      <c r="J152" s="534"/>
      <c r="K152" s="518"/>
      <c r="L152" s="508"/>
      <c r="M152" s="865"/>
      <c r="N152" s="865"/>
      <c r="O152" s="865"/>
      <c r="P152" s="287"/>
      <c r="Q152" s="507"/>
      <c r="R152" s="866"/>
      <c r="S152" s="507"/>
      <c r="T152" s="507"/>
      <c r="U152" s="507"/>
      <c r="V152" s="287"/>
      <c r="W152" s="274"/>
      <c r="X152" s="508"/>
      <c r="Y152" s="507"/>
      <c r="Z152" s="507"/>
      <c r="AA152" s="507"/>
      <c r="AB152" s="286"/>
      <c r="AC152" s="274"/>
      <c r="AD152" s="509"/>
      <c r="AE152" s="507"/>
      <c r="AF152" s="507"/>
      <c r="AG152" s="507"/>
      <c r="AH152" s="286"/>
      <c r="AI152" s="507"/>
      <c r="AJ152" s="509"/>
      <c r="AK152" s="507"/>
      <c r="AL152" s="507"/>
      <c r="AM152" s="907"/>
      <c r="AN152" s="517">
        <f>F151/E151*AN151</f>
        <v>2712.5</v>
      </c>
      <c r="AO152" s="507" t="s">
        <v>32</v>
      </c>
      <c r="AP152" s="978"/>
      <c r="AQ152" s="634"/>
      <c r="AR152" s="606"/>
      <c r="AS152" s="394"/>
      <c r="AT152" s="393"/>
      <c r="AU152" s="395"/>
      <c r="AV152" s="278"/>
      <c r="AW152" s="278"/>
      <c r="AX152" s="278"/>
      <c r="AY152" s="278"/>
      <c r="AZ152" s="278"/>
      <c r="BA152" s="278"/>
      <c r="BB152" s="278"/>
      <c r="BC152" s="278"/>
      <c r="BD152" s="278"/>
    </row>
    <row r="153" spans="1:56" ht="44.25" customHeight="1">
      <c r="A153" s="869">
        <v>40</v>
      </c>
      <c r="B153" s="870" t="s">
        <v>514</v>
      </c>
      <c r="C153" s="891" t="s">
        <v>517</v>
      </c>
      <c r="D153" s="892" t="s">
        <v>516</v>
      </c>
      <c r="E153" s="873">
        <v>43.4</v>
      </c>
      <c r="F153" s="874">
        <v>303800</v>
      </c>
      <c r="G153" s="514"/>
      <c r="H153" s="514"/>
      <c r="I153" s="328"/>
      <c r="J153" s="324"/>
      <c r="K153" s="514"/>
      <c r="L153" s="627"/>
      <c r="M153" s="514"/>
      <c r="N153" s="14"/>
      <c r="O153" s="14"/>
      <c r="P153" s="289"/>
      <c r="Q153" s="14"/>
      <c r="R153" s="614"/>
      <c r="S153" s="865" t="s">
        <v>518</v>
      </c>
      <c r="T153" s="865" t="s">
        <v>519</v>
      </c>
      <c r="U153" s="865" t="s">
        <v>31</v>
      </c>
      <c r="V153" s="286">
        <v>5</v>
      </c>
      <c r="W153" s="518" t="s">
        <v>17</v>
      </c>
      <c r="X153" s="866">
        <v>197700</v>
      </c>
      <c r="Y153" s="507"/>
      <c r="Z153" s="507"/>
      <c r="AA153" s="507" t="s">
        <v>482</v>
      </c>
      <c r="AB153" s="286"/>
      <c r="AC153" s="274"/>
      <c r="AD153" s="509"/>
      <c r="AE153" s="908"/>
      <c r="AF153" s="908"/>
      <c r="AG153" s="914"/>
      <c r="AH153" s="976"/>
      <c r="AI153" s="908"/>
      <c r="AJ153" s="978"/>
      <c r="AK153" s="507"/>
      <c r="AL153" s="507"/>
      <c r="AM153" s="507" t="s">
        <v>482</v>
      </c>
      <c r="AN153" s="286"/>
      <c r="AO153" s="507"/>
      <c r="AP153" s="509"/>
      <c r="AQ153" s="634"/>
      <c r="AR153" s="606"/>
      <c r="AS153" s="394"/>
      <c r="AT153" s="393"/>
      <c r="AU153" s="395"/>
      <c r="AV153" s="278"/>
      <c r="AW153" s="278"/>
      <c r="AX153" s="278"/>
      <c r="AY153" s="278"/>
      <c r="AZ153" s="278"/>
      <c r="BA153" s="278"/>
      <c r="BB153" s="278"/>
      <c r="BC153" s="278"/>
      <c r="BD153" s="278"/>
    </row>
    <row r="154" spans="1:56" ht="44.25" customHeight="1">
      <c r="A154" s="869"/>
      <c r="B154" s="870"/>
      <c r="C154" s="891"/>
      <c r="D154" s="892"/>
      <c r="E154" s="873"/>
      <c r="F154" s="874"/>
      <c r="G154" s="514"/>
      <c r="H154" s="514"/>
      <c r="I154" s="328"/>
      <c r="J154" s="324"/>
      <c r="K154" s="514"/>
      <c r="L154" s="627"/>
      <c r="M154" s="514"/>
      <c r="N154" s="14"/>
      <c r="O154" s="14"/>
      <c r="P154" s="289"/>
      <c r="Q154" s="14"/>
      <c r="R154" s="614"/>
      <c r="S154" s="865"/>
      <c r="T154" s="865"/>
      <c r="U154" s="865"/>
      <c r="V154" s="287">
        <f>F153/E153*V153</f>
        <v>35000</v>
      </c>
      <c r="W154" s="507" t="s">
        <v>32</v>
      </c>
      <c r="X154" s="866"/>
      <c r="Y154" s="507"/>
      <c r="Z154" s="507"/>
      <c r="AA154" s="507"/>
      <c r="AB154" s="286"/>
      <c r="AC154" s="274"/>
      <c r="AD154" s="509"/>
      <c r="AE154" s="908"/>
      <c r="AF154" s="908"/>
      <c r="AG154" s="914"/>
      <c r="AH154" s="976"/>
      <c r="AI154" s="908"/>
      <c r="AJ154" s="978"/>
      <c r="AK154" s="507"/>
      <c r="AL154" s="507"/>
      <c r="AM154" s="507"/>
      <c r="AN154" s="286"/>
      <c r="AO154" s="507"/>
      <c r="AP154" s="509"/>
      <c r="AQ154" s="634"/>
      <c r="AR154" s="606"/>
      <c r="AS154" s="394"/>
      <c r="AT154" s="393"/>
      <c r="AU154" s="395"/>
      <c r="AV154" s="278"/>
      <c r="AW154" s="278"/>
      <c r="AX154" s="278"/>
      <c r="AY154" s="278"/>
      <c r="AZ154" s="278"/>
      <c r="BA154" s="278"/>
      <c r="BB154" s="278"/>
      <c r="BC154" s="278"/>
      <c r="BD154" s="278"/>
    </row>
    <row r="155" spans="1:56" ht="44.25" customHeight="1">
      <c r="A155" s="869">
        <v>41</v>
      </c>
      <c r="B155" s="870" t="s">
        <v>514</v>
      </c>
      <c r="C155" s="891" t="s">
        <v>520</v>
      </c>
      <c r="D155" s="892" t="s">
        <v>516</v>
      </c>
      <c r="E155" s="873">
        <v>66.599999999999994</v>
      </c>
      <c r="F155" s="874">
        <v>475524</v>
      </c>
      <c r="G155" s="518"/>
      <c r="H155" s="518"/>
      <c r="I155" s="512"/>
      <c r="J155" s="136"/>
      <c r="K155" s="518"/>
      <c r="L155" s="625"/>
      <c r="M155" s="507"/>
      <c r="N155" s="507"/>
      <c r="O155" s="507" t="s">
        <v>482</v>
      </c>
      <c r="P155" s="287"/>
      <c r="Q155" s="513"/>
      <c r="R155" s="508"/>
      <c r="S155" s="513"/>
      <c r="T155" s="513"/>
      <c r="U155" s="513"/>
      <c r="V155" s="288"/>
      <c r="W155" s="513"/>
      <c r="X155" s="605"/>
      <c r="Y155" s="865"/>
      <c r="Z155" s="865"/>
      <c r="AA155" s="865"/>
      <c r="AB155" s="286"/>
      <c r="AC155" s="518"/>
      <c r="AD155" s="907"/>
      <c r="AE155" s="507"/>
      <c r="AF155" s="507"/>
      <c r="AG155" s="507"/>
      <c r="AH155" s="286"/>
      <c r="AI155" s="507"/>
      <c r="AJ155" s="509"/>
      <c r="AK155" s="893"/>
      <c r="AL155" s="893"/>
      <c r="AM155" s="907" t="s">
        <v>31</v>
      </c>
      <c r="AN155" s="286">
        <v>0.7</v>
      </c>
      <c r="AO155" s="518" t="s">
        <v>17</v>
      </c>
      <c r="AP155" s="907">
        <v>42000</v>
      </c>
      <c r="AQ155" s="634"/>
      <c r="AR155" s="606"/>
      <c r="AS155" s="394"/>
      <c r="AT155" s="393"/>
      <c r="AU155" s="395"/>
      <c r="AV155" s="278"/>
      <c r="AW155" s="278"/>
      <c r="AX155" s="278"/>
      <c r="AY155" s="278"/>
      <c r="AZ155" s="278"/>
      <c r="BA155" s="278"/>
      <c r="BB155" s="278"/>
      <c r="BC155" s="278"/>
      <c r="BD155" s="278"/>
    </row>
    <row r="156" spans="1:56" ht="44.25" customHeight="1">
      <c r="A156" s="869"/>
      <c r="B156" s="870"/>
      <c r="C156" s="891"/>
      <c r="D156" s="892"/>
      <c r="E156" s="873"/>
      <c r="F156" s="874"/>
      <c r="G156" s="518"/>
      <c r="H156" s="518"/>
      <c r="I156" s="512"/>
      <c r="J156" s="136"/>
      <c r="K156" s="518"/>
      <c r="L156" s="625"/>
      <c r="M156" s="507"/>
      <c r="N156" s="507"/>
      <c r="O156" s="507"/>
      <c r="P156" s="287"/>
      <c r="Q156" s="513"/>
      <c r="R156" s="508"/>
      <c r="S156" s="513"/>
      <c r="T156" s="513"/>
      <c r="U156" s="513"/>
      <c r="V156" s="288"/>
      <c r="W156" s="513"/>
      <c r="X156" s="605"/>
      <c r="Y156" s="865"/>
      <c r="Z156" s="865"/>
      <c r="AA156" s="865"/>
      <c r="AB156" s="287"/>
      <c r="AC156" s="507"/>
      <c r="AD156" s="907"/>
      <c r="AE156" s="507"/>
      <c r="AF156" s="507"/>
      <c r="AG156" s="507"/>
      <c r="AH156" s="286"/>
      <c r="AI156" s="507"/>
      <c r="AJ156" s="509"/>
      <c r="AK156" s="893"/>
      <c r="AL156" s="893"/>
      <c r="AM156" s="907"/>
      <c r="AN156" s="286">
        <f>F155/E155*AN155</f>
        <v>4998</v>
      </c>
      <c r="AO156" s="507" t="s">
        <v>32</v>
      </c>
      <c r="AP156" s="907"/>
      <c r="AQ156" s="634"/>
      <c r="AR156" s="606"/>
      <c r="AS156" s="394"/>
      <c r="AT156" s="393"/>
      <c r="AU156" s="395"/>
      <c r="AV156" s="278"/>
      <c r="AW156" s="278"/>
      <c r="AX156" s="278"/>
      <c r="AY156" s="278"/>
      <c r="AZ156" s="278"/>
      <c r="BA156" s="278"/>
      <c r="BB156" s="278"/>
      <c r="BC156" s="278"/>
      <c r="BD156" s="278"/>
    </row>
    <row r="157" spans="1:56">
      <c r="A157" s="869">
        <v>42</v>
      </c>
      <c r="B157" s="870" t="s">
        <v>514</v>
      </c>
      <c r="C157" s="891" t="s">
        <v>521</v>
      </c>
      <c r="D157" s="892" t="s">
        <v>516</v>
      </c>
      <c r="E157" s="873">
        <v>30.27</v>
      </c>
      <c r="F157" s="874">
        <v>217944</v>
      </c>
      <c r="G157" s="893" t="s">
        <v>522</v>
      </c>
      <c r="H157" s="893" t="s">
        <v>523</v>
      </c>
      <c r="I157" s="893" t="s">
        <v>114</v>
      </c>
      <c r="J157" s="274">
        <v>9</v>
      </c>
      <c r="K157" s="518" t="s">
        <v>17</v>
      </c>
      <c r="L157" s="866">
        <v>141289.41854000001</v>
      </c>
      <c r="M157" s="514"/>
      <c r="N157" s="14"/>
      <c r="O157" s="14"/>
      <c r="P157" s="289"/>
      <c r="Q157" s="14"/>
      <c r="R157" s="614"/>
      <c r="S157" s="893" t="s">
        <v>524</v>
      </c>
      <c r="T157" s="893" t="s">
        <v>522</v>
      </c>
      <c r="U157" s="865" t="s">
        <v>31</v>
      </c>
      <c r="V157" s="286">
        <v>4</v>
      </c>
      <c r="W157" s="518" t="s">
        <v>17</v>
      </c>
      <c r="X157" s="866">
        <v>110500</v>
      </c>
      <c r="Y157" s="507"/>
      <c r="Z157" s="507"/>
      <c r="AA157" s="507" t="s">
        <v>482</v>
      </c>
      <c r="AB157" s="286"/>
      <c r="AC157" s="274"/>
      <c r="AD157" s="509"/>
      <c r="AE157" s="507"/>
      <c r="AF157" s="507"/>
      <c r="AG157" s="507" t="s">
        <v>482</v>
      </c>
      <c r="AH157" s="286"/>
      <c r="AI157" s="507"/>
      <c r="AJ157" s="509"/>
      <c r="AK157" s="507"/>
      <c r="AL157" s="507"/>
      <c r="AM157" s="507" t="s">
        <v>482</v>
      </c>
      <c r="AN157" s="286"/>
      <c r="AO157" s="507"/>
      <c r="AP157" s="509"/>
      <c r="AQ157" s="634"/>
      <c r="AR157" s="606"/>
      <c r="AS157" s="394"/>
      <c r="AT157" s="393"/>
      <c r="AU157" s="395"/>
      <c r="AV157" s="278"/>
      <c r="AW157" s="278"/>
      <c r="AX157" s="278"/>
      <c r="AY157" s="278"/>
      <c r="AZ157" s="278"/>
      <c r="BA157" s="278"/>
      <c r="BB157" s="278"/>
      <c r="BC157" s="278"/>
      <c r="BD157" s="278"/>
    </row>
    <row r="158" spans="1:56">
      <c r="A158" s="869"/>
      <c r="B158" s="870"/>
      <c r="C158" s="891"/>
      <c r="D158" s="892"/>
      <c r="E158" s="873"/>
      <c r="F158" s="874"/>
      <c r="G158" s="893"/>
      <c r="H158" s="893"/>
      <c r="I158" s="916"/>
      <c r="J158" s="534">
        <v>65576</v>
      </c>
      <c r="K158" s="507" t="s">
        <v>32</v>
      </c>
      <c r="L158" s="866"/>
      <c r="M158" s="514"/>
      <c r="N158" s="14"/>
      <c r="O158" s="14"/>
      <c r="P158" s="289"/>
      <c r="Q158" s="14"/>
      <c r="R158" s="614"/>
      <c r="S158" s="893"/>
      <c r="T158" s="893"/>
      <c r="U158" s="865"/>
      <c r="V158" s="287">
        <f>F157/E157*V157</f>
        <v>28800</v>
      </c>
      <c r="W158" s="507" t="s">
        <v>32</v>
      </c>
      <c r="X158" s="866"/>
      <c r="Y158" s="507"/>
      <c r="Z158" s="507"/>
      <c r="AA158" s="507"/>
      <c r="AB158" s="286"/>
      <c r="AC158" s="274"/>
      <c r="AD158" s="509"/>
      <c r="AE158" s="507"/>
      <c r="AF158" s="507"/>
      <c r="AG158" s="507"/>
      <c r="AH158" s="286"/>
      <c r="AI158" s="507"/>
      <c r="AJ158" s="509"/>
      <c r="AK158" s="507"/>
      <c r="AL158" s="507"/>
      <c r="AM158" s="507"/>
      <c r="AN158" s="286"/>
      <c r="AO158" s="507"/>
      <c r="AP158" s="509"/>
      <c r="AQ158" s="634"/>
      <c r="AR158" s="606"/>
      <c r="AS158" s="394"/>
      <c r="AT158" s="393"/>
      <c r="AU158" s="395"/>
      <c r="AV158" s="278"/>
      <c r="AW158" s="278"/>
      <c r="AX158" s="278"/>
      <c r="AY158" s="278"/>
      <c r="AZ158" s="278"/>
      <c r="BA158" s="278"/>
      <c r="BB158" s="278"/>
      <c r="BC158" s="278"/>
      <c r="BD158" s="278"/>
    </row>
    <row r="159" spans="1:56" ht="39">
      <c r="A159" s="869"/>
      <c r="B159" s="870"/>
      <c r="C159" s="891"/>
      <c r="D159" s="892"/>
      <c r="E159" s="873"/>
      <c r="F159" s="874"/>
      <c r="G159" s="893"/>
      <c r="H159" s="893"/>
      <c r="I159" s="511" t="s">
        <v>2682</v>
      </c>
      <c r="J159" s="534">
        <v>1</v>
      </c>
      <c r="K159" s="507" t="s">
        <v>118</v>
      </c>
      <c r="L159" s="508">
        <v>45</v>
      </c>
      <c r="M159" s="507"/>
      <c r="N159" s="507"/>
      <c r="O159" s="507" t="s">
        <v>482</v>
      </c>
      <c r="P159" s="287"/>
      <c r="Q159" s="513"/>
      <c r="R159" s="508"/>
      <c r="S159" s="893"/>
      <c r="T159" s="893"/>
      <c r="U159" s="865"/>
      <c r="V159" s="286"/>
      <c r="W159" s="518"/>
      <c r="X159" s="866"/>
      <c r="Y159" s="507"/>
      <c r="Z159" s="507"/>
      <c r="AA159" s="507"/>
      <c r="AB159" s="286"/>
      <c r="AC159" s="274"/>
      <c r="AD159" s="509"/>
      <c r="AE159" s="507"/>
      <c r="AF159" s="507"/>
      <c r="AG159" s="507"/>
      <c r="AH159" s="286"/>
      <c r="AI159" s="507"/>
      <c r="AJ159" s="509"/>
      <c r="AK159" s="507"/>
      <c r="AL159" s="507"/>
      <c r="AM159" s="507"/>
      <c r="AN159" s="286"/>
      <c r="AO159" s="507"/>
      <c r="AP159" s="509"/>
      <c r="AQ159" s="634"/>
      <c r="AR159" s="606"/>
      <c r="AS159" s="394"/>
      <c r="AT159" s="393"/>
      <c r="AU159" s="395"/>
      <c r="AV159" s="278"/>
      <c r="AW159" s="278"/>
      <c r="AX159" s="278"/>
      <c r="AY159" s="278"/>
      <c r="AZ159" s="278"/>
      <c r="BA159" s="278"/>
      <c r="BB159" s="278"/>
      <c r="BC159" s="278"/>
      <c r="BD159" s="278"/>
    </row>
    <row r="160" spans="1:56">
      <c r="A160" s="869"/>
      <c r="B160" s="870"/>
      <c r="C160" s="891"/>
      <c r="D160" s="892"/>
      <c r="E160" s="873"/>
      <c r="F160" s="874"/>
      <c r="G160" s="511"/>
      <c r="H160" s="511"/>
      <c r="I160" s="512"/>
      <c r="J160" s="534"/>
      <c r="K160" s="507"/>
      <c r="L160" s="508"/>
      <c r="M160" s="507"/>
      <c r="N160" s="507"/>
      <c r="O160" s="507"/>
      <c r="P160" s="287"/>
      <c r="Q160" s="513"/>
      <c r="R160" s="508"/>
      <c r="S160" s="893"/>
      <c r="T160" s="893"/>
      <c r="U160" s="975"/>
      <c r="V160" s="287"/>
      <c r="W160" s="507"/>
      <c r="X160" s="866"/>
      <c r="Y160" s="507"/>
      <c r="Z160" s="507"/>
      <c r="AA160" s="507"/>
      <c r="AB160" s="286"/>
      <c r="AC160" s="274"/>
      <c r="AD160" s="509"/>
      <c r="AE160" s="507"/>
      <c r="AF160" s="507"/>
      <c r="AG160" s="507"/>
      <c r="AH160" s="286"/>
      <c r="AI160" s="507"/>
      <c r="AJ160" s="509"/>
      <c r="AK160" s="507"/>
      <c r="AL160" s="507"/>
      <c r="AM160" s="507"/>
      <c r="AN160" s="286"/>
      <c r="AO160" s="507"/>
      <c r="AP160" s="509"/>
      <c r="AQ160" s="634"/>
      <c r="AR160" s="606"/>
      <c r="AS160" s="394"/>
      <c r="AT160" s="393"/>
      <c r="AU160" s="395"/>
      <c r="AV160" s="278"/>
      <c r="AW160" s="278"/>
      <c r="AX160" s="278"/>
      <c r="AY160" s="278"/>
      <c r="AZ160" s="278"/>
      <c r="BA160" s="278"/>
      <c r="BB160" s="278"/>
      <c r="BC160" s="278"/>
      <c r="BD160" s="278"/>
    </row>
    <row r="161" spans="1:56" ht="31.5" customHeight="1">
      <c r="A161" s="869">
        <v>43</v>
      </c>
      <c r="B161" s="870" t="s">
        <v>525</v>
      </c>
      <c r="C161" s="891" t="s">
        <v>526</v>
      </c>
      <c r="D161" s="892" t="s">
        <v>527</v>
      </c>
      <c r="E161" s="873">
        <v>11.867000000000001</v>
      </c>
      <c r="F161" s="874">
        <v>77135.5</v>
      </c>
      <c r="G161" s="865"/>
      <c r="H161" s="507"/>
      <c r="I161" s="511"/>
      <c r="J161" s="534"/>
      <c r="K161" s="518"/>
      <c r="L161" s="508"/>
      <c r="M161" s="507"/>
      <c r="N161" s="507"/>
      <c r="O161" s="507" t="s">
        <v>482</v>
      </c>
      <c r="P161" s="287"/>
      <c r="Q161" s="513"/>
      <c r="R161" s="508"/>
      <c r="S161" s="507"/>
      <c r="T161" s="507"/>
      <c r="U161" s="507"/>
      <c r="V161" s="287"/>
      <c r="W161" s="274"/>
      <c r="X161" s="508"/>
      <c r="Y161" s="507"/>
      <c r="Z161" s="507"/>
      <c r="AA161" s="507" t="s">
        <v>482</v>
      </c>
      <c r="AB161" s="286"/>
      <c r="AC161" s="274"/>
      <c r="AD161" s="509"/>
      <c r="AE161" s="507"/>
      <c r="AF161" s="507"/>
      <c r="AG161" s="507" t="s">
        <v>482</v>
      </c>
      <c r="AH161" s="286"/>
      <c r="AI161" s="507"/>
      <c r="AJ161" s="509"/>
      <c r="AK161" s="865"/>
      <c r="AL161" s="865"/>
      <c r="AM161" s="865" t="s">
        <v>31</v>
      </c>
      <c r="AN161" s="286">
        <v>3</v>
      </c>
      <c r="AO161" s="518" t="s">
        <v>17</v>
      </c>
      <c r="AP161" s="907">
        <v>180000</v>
      </c>
      <c r="AQ161" s="634"/>
      <c r="AR161" s="606"/>
      <c r="AS161" s="394"/>
      <c r="AT161" s="393"/>
      <c r="AU161" s="395"/>
      <c r="AV161" s="278"/>
      <c r="AW161" s="278"/>
      <c r="AX161" s="278"/>
      <c r="AY161" s="278"/>
      <c r="AZ161" s="278"/>
      <c r="BA161" s="278"/>
      <c r="BB161" s="278"/>
      <c r="BC161" s="278"/>
      <c r="BD161" s="278"/>
    </row>
    <row r="162" spans="1:56" ht="31.5" customHeight="1">
      <c r="A162" s="869"/>
      <c r="B162" s="870"/>
      <c r="C162" s="891"/>
      <c r="D162" s="892"/>
      <c r="E162" s="873"/>
      <c r="F162" s="874"/>
      <c r="G162" s="865"/>
      <c r="H162" s="507"/>
      <c r="I162" s="511"/>
      <c r="J162" s="534"/>
      <c r="K162" s="518"/>
      <c r="L162" s="508"/>
      <c r="M162" s="507"/>
      <c r="N162" s="507"/>
      <c r="O162" s="507"/>
      <c r="P162" s="287"/>
      <c r="Q162" s="513"/>
      <c r="R162" s="508"/>
      <c r="S162" s="507"/>
      <c r="T162" s="507"/>
      <c r="U162" s="507"/>
      <c r="V162" s="287"/>
      <c r="W162" s="274"/>
      <c r="X162" s="508"/>
      <c r="Y162" s="507"/>
      <c r="Z162" s="507"/>
      <c r="AA162" s="507"/>
      <c r="AB162" s="286"/>
      <c r="AC162" s="274"/>
      <c r="AD162" s="509"/>
      <c r="AE162" s="507"/>
      <c r="AF162" s="507"/>
      <c r="AG162" s="507"/>
      <c r="AH162" s="286"/>
      <c r="AI162" s="507"/>
      <c r="AJ162" s="509"/>
      <c r="AK162" s="865"/>
      <c r="AL162" s="865"/>
      <c r="AM162" s="865"/>
      <c r="AN162" s="286">
        <f>F161/E161*AN161</f>
        <v>19499.999999999996</v>
      </c>
      <c r="AO162" s="507" t="s">
        <v>32</v>
      </c>
      <c r="AP162" s="907"/>
      <c r="AQ162" s="634"/>
      <c r="AR162" s="606"/>
      <c r="AS162" s="394"/>
      <c r="AT162" s="393"/>
      <c r="AU162" s="395"/>
      <c r="AV162" s="278"/>
      <c r="AW162" s="278"/>
      <c r="AX162" s="278"/>
      <c r="AY162" s="278"/>
      <c r="AZ162" s="278"/>
      <c r="BA162" s="278"/>
      <c r="BB162" s="278"/>
      <c r="BC162" s="278"/>
      <c r="BD162" s="278"/>
    </row>
    <row r="163" spans="1:56">
      <c r="A163" s="869">
        <v>44</v>
      </c>
      <c r="B163" s="870" t="s">
        <v>525</v>
      </c>
      <c r="C163" s="891" t="s">
        <v>528</v>
      </c>
      <c r="D163" s="892" t="s">
        <v>527</v>
      </c>
      <c r="E163" s="873">
        <v>12.412000000000001</v>
      </c>
      <c r="F163" s="874">
        <v>74472</v>
      </c>
      <c r="G163" s="865" t="s">
        <v>529</v>
      </c>
      <c r="H163" s="865" t="s">
        <v>530</v>
      </c>
      <c r="I163" s="893" t="s">
        <v>114</v>
      </c>
      <c r="J163" s="274">
        <v>5</v>
      </c>
      <c r="K163" s="518" t="s">
        <v>17</v>
      </c>
      <c r="L163" s="866">
        <f>63311.54412</f>
        <v>63311.544119999999</v>
      </c>
      <c r="M163" s="507"/>
      <c r="N163" s="507"/>
      <c r="O163" s="507" t="s">
        <v>482</v>
      </c>
      <c r="P163" s="287"/>
      <c r="Q163" s="513"/>
      <c r="R163" s="508"/>
      <c r="S163" s="865" t="s">
        <v>531</v>
      </c>
      <c r="T163" s="865" t="s">
        <v>532</v>
      </c>
      <c r="U163" s="865" t="s">
        <v>31</v>
      </c>
      <c r="V163" s="286">
        <v>3.5</v>
      </c>
      <c r="W163" s="518" t="s">
        <v>17</v>
      </c>
      <c r="X163" s="866">
        <v>89564.252900000007</v>
      </c>
      <c r="Y163" s="513"/>
      <c r="Z163" s="513"/>
      <c r="AA163" s="513"/>
      <c r="AB163" s="288"/>
      <c r="AC163" s="513"/>
      <c r="AD163" s="626"/>
      <c r="AE163" s="513"/>
      <c r="AF163" s="513"/>
      <c r="AG163" s="513"/>
      <c r="AH163" s="288"/>
      <c r="AI163" s="513"/>
      <c r="AJ163" s="626"/>
      <c r="AK163" s="507"/>
      <c r="AL163" s="507"/>
      <c r="AM163" s="507" t="s">
        <v>482</v>
      </c>
      <c r="AN163" s="286"/>
      <c r="AO163" s="507"/>
      <c r="AP163" s="509"/>
      <c r="AQ163" s="634"/>
      <c r="AR163" s="606"/>
      <c r="AS163" s="394"/>
      <c r="AT163" s="393"/>
      <c r="AU163" s="395"/>
      <c r="AV163" s="278"/>
      <c r="AW163" s="278"/>
      <c r="AX163" s="278"/>
      <c r="AY163" s="278"/>
      <c r="AZ163" s="278"/>
      <c r="BA163" s="278"/>
      <c r="BB163" s="278"/>
      <c r="BC163" s="278"/>
      <c r="BD163" s="278"/>
    </row>
    <row r="164" spans="1:56">
      <c r="A164" s="869"/>
      <c r="B164" s="870"/>
      <c r="C164" s="891"/>
      <c r="D164" s="892"/>
      <c r="E164" s="873"/>
      <c r="F164" s="874"/>
      <c r="G164" s="865"/>
      <c r="H164" s="865"/>
      <c r="I164" s="916"/>
      <c r="J164" s="534">
        <v>35160</v>
      </c>
      <c r="K164" s="507" t="s">
        <v>32</v>
      </c>
      <c r="L164" s="866"/>
      <c r="M164" s="507"/>
      <c r="N164" s="507"/>
      <c r="O164" s="507"/>
      <c r="P164" s="287"/>
      <c r="Q164" s="513"/>
      <c r="R164" s="508"/>
      <c r="S164" s="865"/>
      <c r="T164" s="865"/>
      <c r="U164" s="865"/>
      <c r="V164" s="287">
        <f>F163/E163*V163</f>
        <v>21000</v>
      </c>
      <c r="W164" s="507" t="s">
        <v>32</v>
      </c>
      <c r="X164" s="866"/>
      <c r="Y164" s="513"/>
      <c r="Z164" s="513"/>
      <c r="AA164" s="513"/>
      <c r="AB164" s="288"/>
      <c r="AC164" s="513"/>
      <c r="AD164" s="626"/>
      <c r="AE164" s="513"/>
      <c r="AF164" s="513"/>
      <c r="AG164" s="513"/>
      <c r="AH164" s="288"/>
      <c r="AI164" s="513"/>
      <c r="AJ164" s="626"/>
      <c r="AK164" s="507"/>
      <c r="AL164" s="507"/>
      <c r="AM164" s="507"/>
      <c r="AN164" s="286"/>
      <c r="AO164" s="507"/>
      <c r="AP164" s="509"/>
      <c r="AQ164" s="634"/>
      <c r="AR164" s="606"/>
      <c r="AS164" s="394"/>
      <c r="AT164" s="393"/>
      <c r="AU164" s="395"/>
      <c r="AV164" s="278"/>
      <c r="AW164" s="278"/>
      <c r="AX164" s="278"/>
      <c r="AY164" s="278"/>
      <c r="AZ164" s="278"/>
      <c r="BA164" s="278"/>
      <c r="BB164" s="278"/>
      <c r="BC164" s="278"/>
      <c r="BD164" s="278"/>
    </row>
    <row r="165" spans="1:56" ht="39">
      <c r="A165" s="869"/>
      <c r="B165" s="870"/>
      <c r="C165" s="891"/>
      <c r="D165" s="892"/>
      <c r="E165" s="873"/>
      <c r="F165" s="874"/>
      <c r="G165" s="865"/>
      <c r="H165" s="865"/>
      <c r="I165" s="511" t="s">
        <v>2682</v>
      </c>
      <c r="J165" s="534">
        <v>1</v>
      </c>
      <c r="K165" s="507" t="s">
        <v>118</v>
      </c>
      <c r="L165" s="508">
        <v>25</v>
      </c>
      <c r="M165" s="507"/>
      <c r="N165" s="507"/>
      <c r="O165" s="507"/>
      <c r="P165" s="287"/>
      <c r="Q165" s="513"/>
      <c r="R165" s="508"/>
      <c r="S165" s="507"/>
      <c r="T165" s="507"/>
      <c r="U165" s="507"/>
      <c r="V165" s="287"/>
      <c r="W165" s="507"/>
      <c r="X165" s="508"/>
      <c r="Y165" s="513"/>
      <c r="Z165" s="513"/>
      <c r="AA165" s="513"/>
      <c r="AB165" s="288"/>
      <c r="AC165" s="513"/>
      <c r="AD165" s="626"/>
      <c r="AE165" s="513"/>
      <c r="AF165" s="513"/>
      <c r="AG165" s="513"/>
      <c r="AH165" s="288"/>
      <c r="AI165" s="513"/>
      <c r="AJ165" s="626"/>
      <c r="AK165" s="507"/>
      <c r="AL165" s="507"/>
      <c r="AM165" s="507"/>
      <c r="AN165" s="286"/>
      <c r="AO165" s="507"/>
      <c r="AP165" s="509"/>
      <c r="AQ165" s="634"/>
      <c r="AR165" s="606"/>
      <c r="AS165" s="394"/>
      <c r="AT165" s="393"/>
      <c r="AU165" s="395"/>
      <c r="AV165" s="278"/>
      <c r="AW165" s="278"/>
      <c r="AX165" s="278"/>
      <c r="AY165" s="278"/>
      <c r="AZ165" s="278"/>
      <c r="BA165" s="278"/>
      <c r="BB165" s="278"/>
      <c r="BC165" s="278"/>
      <c r="BD165" s="278"/>
    </row>
    <row r="166" spans="1:56" ht="81" customHeight="1">
      <c r="A166" s="869">
        <v>45</v>
      </c>
      <c r="B166" s="870" t="s">
        <v>533</v>
      </c>
      <c r="C166" s="891" t="s">
        <v>534</v>
      </c>
      <c r="D166" s="892" t="s">
        <v>535</v>
      </c>
      <c r="E166" s="873">
        <v>24.56</v>
      </c>
      <c r="F166" s="874">
        <v>147360</v>
      </c>
      <c r="G166" s="507"/>
      <c r="H166" s="507"/>
      <c r="I166" s="511"/>
      <c r="J166" s="534"/>
      <c r="K166" s="518"/>
      <c r="L166" s="508"/>
      <c r="M166" s="914" t="s">
        <v>60</v>
      </c>
      <c r="N166" s="908" t="s">
        <v>536</v>
      </c>
      <c r="O166" s="893" t="s">
        <v>114</v>
      </c>
      <c r="P166" s="517">
        <v>5</v>
      </c>
      <c r="Q166" s="518" t="s">
        <v>17</v>
      </c>
      <c r="R166" s="909">
        <v>100400</v>
      </c>
      <c r="S166" s="908" t="s">
        <v>60</v>
      </c>
      <c r="T166" s="908" t="s">
        <v>536</v>
      </c>
      <c r="U166" s="893" t="s">
        <v>114</v>
      </c>
      <c r="V166" s="517">
        <v>8.5</v>
      </c>
      <c r="W166" s="518" t="s">
        <v>17</v>
      </c>
      <c r="X166" s="909">
        <v>119000</v>
      </c>
      <c r="Y166" s="908" t="s">
        <v>536</v>
      </c>
      <c r="Z166" s="908" t="s">
        <v>2977</v>
      </c>
      <c r="AA166" s="865" t="s">
        <v>31</v>
      </c>
      <c r="AB166" s="286">
        <v>5</v>
      </c>
      <c r="AC166" s="518" t="s">
        <v>17</v>
      </c>
      <c r="AD166" s="907">
        <v>215400</v>
      </c>
      <c r="AE166" s="507"/>
      <c r="AF166" s="507"/>
      <c r="AG166" s="507" t="s">
        <v>482</v>
      </c>
      <c r="AH166" s="286"/>
      <c r="AI166" s="507"/>
      <c r="AJ166" s="509"/>
      <c r="AK166" s="865"/>
      <c r="AL166" s="865"/>
      <c r="AM166" s="865" t="s">
        <v>31</v>
      </c>
      <c r="AN166" s="286">
        <v>4.5</v>
      </c>
      <c r="AO166" s="518" t="s">
        <v>17</v>
      </c>
      <c r="AP166" s="907">
        <v>270000</v>
      </c>
      <c r="AQ166" s="634"/>
      <c r="AR166" s="606"/>
      <c r="AS166" s="394"/>
      <c r="AT166" s="393"/>
      <c r="AU166" s="395"/>
      <c r="AV166" s="278"/>
      <c r="AW166" s="278"/>
      <c r="AX166" s="278"/>
      <c r="AY166" s="278"/>
      <c r="AZ166" s="278"/>
      <c r="BA166" s="278"/>
      <c r="BB166" s="278"/>
      <c r="BC166" s="278"/>
      <c r="BD166" s="278"/>
    </row>
    <row r="167" spans="1:56" ht="81" customHeight="1">
      <c r="A167" s="869"/>
      <c r="B167" s="870"/>
      <c r="C167" s="915"/>
      <c r="D167" s="892"/>
      <c r="E167" s="873"/>
      <c r="F167" s="874"/>
      <c r="G167" s="507"/>
      <c r="H167" s="507"/>
      <c r="I167" s="511"/>
      <c r="J167" s="534"/>
      <c r="K167" s="518"/>
      <c r="L167" s="508"/>
      <c r="M167" s="908"/>
      <c r="N167" s="908"/>
      <c r="O167" s="916"/>
      <c r="P167" s="521">
        <f>F166/E166*P166</f>
        <v>30000</v>
      </c>
      <c r="Q167" s="507" t="s">
        <v>32</v>
      </c>
      <c r="R167" s="909"/>
      <c r="S167" s="908"/>
      <c r="T167" s="908"/>
      <c r="U167" s="916"/>
      <c r="V167" s="521">
        <f>V166*F166/E166</f>
        <v>51000</v>
      </c>
      <c r="W167" s="507" t="s">
        <v>32</v>
      </c>
      <c r="X167" s="909"/>
      <c r="Y167" s="908"/>
      <c r="Z167" s="908"/>
      <c r="AA167" s="865"/>
      <c r="AB167" s="287">
        <f>F166/E166*AB166</f>
        <v>30000</v>
      </c>
      <c r="AC167" s="507" t="s">
        <v>32</v>
      </c>
      <c r="AD167" s="907"/>
      <c r="AE167" s="507"/>
      <c r="AF167" s="507"/>
      <c r="AG167" s="507"/>
      <c r="AH167" s="286"/>
      <c r="AI167" s="507"/>
      <c r="AJ167" s="509"/>
      <c r="AK167" s="865"/>
      <c r="AL167" s="865"/>
      <c r="AM167" s="865"/>
      <c r="AN167" s="286">
        <f>F166/E166*AN166</f>
        <v>27000</v>
      </c>
      <c r="AO167" s="507" t="s">
        <v>32</v>
      </c>
      <c r="AP167" s="907"/>
      <c r="AQ167" s="634"/>
      <c r="AR167" s="606"/>
      <c r="AS167" s="394"/>
      <c r="AT167" s="393"/>
      <c r="AU167" s="395"/>
      <c r="AV167" s="278"/>
      <c r="AW167" s="278"/>
      <c r="AX167" s="278"/>
      <c r="AY167" s="278"/>
      <c r="AZ167" s="278"/>
      <c r="BA167" s="278"/>
      <c r="BB167" s="278"/>
      <c r="BC167" s="278"/>
      <c r="BD167" s="278"/>
    </row>
    <row r="168" spans="1:56" ht="36" customHeight="1">
      <c r="A168" s="869">
        <v>46</v>
      </c>
      <c r="B168" s="870" t="s">
        <v>533</v>
      </c>
      <c r="C168" s="891" t="s">
        <v>537</v>
      </c>
      <c r="D168" s="892" t="s">
        <v>535</v>
      </c>
      <c r="E168" s="873">
        <v>35.764000000000003</v>
      </c>
      <c r="F168" s="874">
        <v>236042.4</v>
      </c>
      <c r="G168" s="507"/>
      <c r="H168" s="507"/>
      <c r="I168" s="511"/>
      <c r="J168" s="534"/>
      <c r="K168" s="274"/>
      <c r="L168" s="508"/>
      <c r="M168" s="134"/>
      <c r="N168" s="134"/>
      <c r="O168" s="134"/>
      <c r="P168" s="285"/>
      <c r="Q168" s="135"/>
      <c r="R168" s="628"/>
      <c r="S168" s="865" t="s">
        <v>538</v>
      </c>
      <c r="T168" s="865" t="s">
        <v>539</v>
      </c>
      <c r="U168" s="865" t="s">
        <v>31</v>
      </c>
      <c r="V168" s="286">
        <v>2.5</v>
      </c>
      <c r="W168" s="518" t="s">
        <v>17</v>
      </c>
      <c r="X168" s="866">
        <v>88440</v>
      </c>
      <c r="Y168" s="865" t="s">
        <v>539</v>
      </c>
      <c r="Z168" s="865" t="s">
        <v>2978</v>
      </c>
      <c r="AA168" s="865" t="s">
        <v>31</v>
      </c>
      <c r="AB168" s="286">
        <v>3</v>
      </c>
      <c r="AC168" s="518" t="s">
        <v>17</v>
      </c>
      <c r="AD168" s="907">
        <v>129800</v>
      </c>
      <c r="AE168" s="865" t="s">
        <v>540</v>
      </c>
      <c r="AF168" s="865" t="s">
        <v>541</v>
      </c>
      <c r="AG168" s="865" t="s">
        <v>31</v>
      </c>
      <c r="AH168" s="286">
        <v>2.2000000000000002</v>
      </c>
      <c r="AI168" s="518" t="s">
        <v>17</v>
      </c>
      <c r="AJ168" s="907">
        <v>132000</v>
      </c>
      <c r="AK168" s="507"/>
      <c r="AL168" s="507"/>
      <c r="AM168" s="507" t="s">
        <v>482</v>
      </c>
      <c r="AN168" s="286"/>
      <c r="AO168" s="507"/>
      <c r="AP168" s="509"/>
      <c r="AQ168" s="634"/>
      <c r="AR168" s="606"/>
      <c r="AS168" s="394"/>
      <c r="AT168" s="393"/>
      <c r="AU168" s="395"/>
      <c r="AV168" s="278"/>
      <c r="AW168" s="278"/>
      <c r="AX168" s="278"/>
      <c r="AY168" s="278"/>
      <c r="AZ168" s="278"/>
      <c r="BA168" s="278"/>
      <c r="BB168" s="278"/>
      <c r="BC168" s="278"/>
      <c r="BD168" s="278"/>
    </row>
    <row r="169" spans="1:56" ht="36" customHeight="1">
      <c r="A169" s="869"/>
      <c r="B169" s="870"/>
      <c r="C169" s="891"/>
      <c r="D169" s="892"/>
      <c r="E169" s="873"/>
      <c r="F169" s="874"/>
      <c r="G169" s="507"/>
      <c r="H169" s="507"/>
      <c r="I169" s="511"/>
      <c r="J169" s="534"/>
      <c r="K169" s="518"/>
      <c r="L169" s="508"/>
      <c r="M169" s="514"/>
      <c r="N169" s="14"/>
      <c r="O169" s="14"/>
      <c r="P169" s="289"/>
      <c r="Q169" s="14"/>
      <c r="R169" s="614"/>
      <c r="S169" s="865"/>
      <c r="T169" s="865"/>
      <c r="U169" s="865"/>
      <c r="V169" s="287">
        <f>F168/E168*V168</f>
        <v>16499.999999999996</v>
      </c>
      <c r="W169" s="507" t="s">
        <v>32</v>
      </c>
      <c r="X169" s="866"/>
      <c r="Y169" s="865"/>
      <c r="Z169" s="865"/>
      <c r="AA169" s="865"/>
      <c r="AB169" s="287">
        <f>F168/E168*AB168</f>
        <v>19799.999999999996</v>
      </c>
      <c r="AC169" s="507" t="s">
        <v>32</v>
      </c>
      <c r="AD169" s="907"/>
      <c r="AE169" s="865"/>
      <c r="AF169" s="865"/>
      <c r="AG169" s="865"/>
      <c r="AH169" s="287">
        <f>F168/E168*AH168</f>
        <v>14520</v>
      </c>
      <c r="AI169" s="507" t="s">
        <v>32</v>
      </c>
      <c r="AJ169" s="907"/>
      <c r="AK169" s="507"/>
      <c r="AL169" s="507"/>
      <c r="AM169" s="507"/>
      <c r="AN169" s="286"/>
      <c r="AO169" s="507"/>
      <c r="AP169" s="509"/>
      <c r="AQ169" s="634"/>
      <c r="AR169" s="606"/>
      <c r="AS169" s="394"/>
      <c r="AT169" s="393"/>
      <c r="AU169" s="395"/>
      <c r="AV169" s="278"/>
      <c r="AW169" s="278"/>
      <c r="AX169" s="278"/>
      <c r="AY169" s="278"/>
      <c r="AZ169" s="278"/>
      <c r="BA169" s="278"/>
      <c r="BB169" s="278"/>
      <c r="BC169" s="278"/>
      <c r="BD169" s="278"/>
    </row>
    <row r="170" spans="1:56" ht="36" customHeight="1">
      <c r="A170" s="869"/>
      <c r="B170" s="870"/>
      <c r="C170" s="891"/>
      <c r="D170" s="892"/>
      <c r="E170" s="873"/>
      <c r="F170" s="874"/>
      <c r="G170" s="507"/>
      <c r="H170" s="507"/>
      <c r="I170" s="511"/>
      <c r="J170" s="534"/>
      <c r="K170" s="518"/>
      <c r="L170" s="508"/>
      <c r="M170" s="514"/>
      <c r="N170" s="14"/>
      <c r="O170" s="14"/>
      <c r="P170" s="289"/>
      <c r="Q170" s="14"/>
      <c r="R170" s="614"/>
      <c r="S170" s="507"/>
      <c r="T170" s="507"/>
      <c r="U170" s="507"/>
      <c r="V170" s="287"/>
      <c r="W170" s="507"/>
      <c r="X170" s="508"/>
      <c r="Y170" s="507"/>
      <c r="Z170" s="507"/>
      <c r="AA170" s="507"/>
      <c r="AB170" s="287"/>
      <c r="AC170" s="507"/>
      <c r="AD170" s="509"/>
      <c r="AE170" s="908"/>
      <c r="AF170" s="908"/>
      <c r="AG170" s="914"/>
      <c r="AH170" s="976"/>
      <c r="AI170" s="977"/>
      <c r="AJ170" s="978"/>
      <c r="AK170" s="507"/>
      <c r="AL170" s="507"/>
      <c r="AM170" s="507"/>
      <c r="AN170" s="286"/>
      <c r="AO170" s="507"/>
      <c r="AP170" s="509"/>
      <c r="AQ170" s="634"/>
      <c r="AR170" s="606"/>
      <c r="AS170" s="394"/>
      <c r="AT170" s="393"/>
      <c r="AU170" s="395"/>
      <c r="AV170" s="278"/>
      <c r="AW170" s="278"/>
      <c r="AX170" s="278"/>
      <c r="AY170" s="278"/>
      <c r="AZ170" s="278"/>
      <c r="BA170" s="278"/>
      <c r="BB170" s="278"/>
      <c r="BC170" s="278"/>
      <c r="BD170" s="278"/>
    </row>
    <row r="171" spans="1:56" ht="36" customHeight="1">
      <c r="A171" s="869"/>
      <c r="B171" s="870"/>
      <c r="C171" s="891"/>
      <c r="D171" s="892"/>
      <c r="E171" s="873"/>
      <c r="F171" s="874"/>
      <c r="G171" s="507"/>
      <c r="H171" s="507"/>
      <c r="I171" s="511"/>
      <c r="J171" s="534"/>
      <c r="K171" s="518"/>
      <c r="L171" s="508"/>
      <c r="M171" s="514"/>
      <c r="N171" s="14"/>
      <c r="O171" s="14"/>
      <c r="P171" s="289"/>
      <c r="Q171" s="14"/>
      <c r="R171" s="614"/>
      <c r="S171" s="507"/>
      <c r="T171" s="507"/>
      <c r="U171" s="507"/>
      <c r="V171" s="287"/>
      <c r="W171" s="507"/>
      <c r="X171" s="508"/>
      <c r="Y171" s="507"/>
      <c r="Z171" s="507"/>
      <c r="AA171" s="507"/>
      <c r="AB171" s="287"/>
      <c r="AC171" s="507"/>
      <c r="AD171" s="509"/>
      <c r="AE171" s="908"/>
      <c r="AF171" s="908"/>
      <c r="AG171" s="914"/>
      <c r="AH171" s="976"/>
      <c r="AI171" s="977"/>
      <c r="AJ171" s="978"/>
      <c r="AK171" s="507"/>
      <c r="AL171" s="507"/>
      <c r="AM171" s="507"/>
      <c r="AN171" s="286"/>
      <c r="AO171" s="507"/>
      <c r="AP171" s="509"/>
      <c r="AQ171" s="634"/>
      <c r="AR171" s="606"/>
      <c r="AS171" s="394"/>
      <c r="AT171" s="393"/>
      <c r="AU171" s="395"/>
      <c r="AV171" s="278"/>
      <c r="AW171" s="278"/>
      <c r="AX171" s="278"/>
      <c r="AY171" s="278"/>
      <c r="AZ171" s="278"/>
      <c r="BA171" s="278"/>
      <c r="BB171" s="278"/>
      <c r="BC171" s="278"/>
      <c r="BD171" s="278"/>
    </row>
    <row r="172" spans="1:56" ht="25.5" customHeight="1">
      <c r="A172" s="869">
        <v>47</v>
      </c>
      <c r="B172" s="870" t="s">
        <v>542</v>
      </c>
      <c r="C172" s="891" t="s">
        <v>543</v>
      </c>
      <c r="D172" s="892" t="s">
        <v>544</v>
      </c>
      <c r="E172" s="873">
        <v>46.542000000000002</v>
      </c>
      <c r="F172" s="874">
        <v>341152.86</v>
      </c>
      <c r="G172" s="507"/>
      <c r="H172" s="507"/>
      <c r="I172" s="511"/>
      <c r="J172" s="534"/>
      <c r="K172" s="518"/>
      <c r="L172" s="336"/>
      <c r="M172" s="914" t="s">
        <v>2575</v>
      </c>
      <c r="N172" s="908" t="s">
        <v>545</v>
      </c>
      <c r="O172" s="893" t="s">
        <v>114</v>
      </c>
      <c r="P172" s="517">
        <v>12.4</v>
      </c>
      <c r="Q172" s="518" t="s">
        <v>17</v>
      </c>
      <c r="R172" s="909">
        <v>229970</v>
      </c>
      <c r="S172" s="908"/>
      <c r="T172" s="908"/>
      <c r="U172" s="865"/>
      <c r="V172" s="517"/>
      <c r="W172" s="518"/>
      <c r="X172" s="909"/>
      <c r="Y172" s="14"/>
      <c r="Z172" s="14"/>
      <c r="AA172" s="14"/>
      <c r="AB172" s="289"/>
      <c r="AC172" s="14"/>
      <c r="AD172" s="622"/>
      <c r="AE172" s="507"/>
      <c r="AF172" s="507"/>
      <c r="AG172" s="507" t="s">
        <v>482</v>
      </c>
      <c r="AH172" s="286"/>
      <c r="AI172" s="507"/>
      <c r="AJ172" s="509"/>
      <c r="AK172" s="507"/>
      <c r="AL172" s="507"/>
      <c r="AM172" s="507" t="s">
        <v>482</v>
      </c>
      <c r="AN172" s="286"/>
      <c r="AO172" s="507"/>
      <c r="AP172" s="509"/>
      <c r="AQ172" s="634"/>
      <c r="AR172" s="606"/>
      <c r="AS172" s="394"/>
      <c r="AT172" s="393"/>
      <c r="AU172" s="395"/>
      <c r="AV172" s="278"/>
      <c r="AW172" s="278"/>
      <c r="AX172" s="278"/>
      <c r="AY172" s="278"/>
      <c r="AZ172" s="278"/>
      <c r="BA172" s="278"/>
      <c r="BB172" s="278"/>
      <c r="BC172" s="278"/>
      <c r="BD172" s="278"/>
    </row>
    <row r="173" spans="1:56" ht="30" customHeight="1">
      <c r="A173" s="869"/>
      <c r="B173" s="870"/>
      <c r="C173" s="891"/>
      <c r="D173" s="892"/>
      <c r="E173" s="873"/>
      <c r="F173" s="874"/>
      <c r="G173" s="507"/>
      <c r="H173" s="507"/>
      <c r="I173" s="511"/>
      <c r="J173" s="534"/>
      <c r="K173" s="518"/>
      <c r="L173" s="336"/>
      <c r="M173" s="908"/>
      <c r="N173" s="908"/>
      <c r="O173" s="916"/>
      <c r="P173" s="521">
        <f>F172/E172*P172</f>
        <v>90891.999999999985</v>
      </c>
      <c r="Q173" s="507" t="s">
        <v>32</v>
      </c>
      <c r="R173" s="909"/>
      <c r="S173" s="908"/>
      <c r="T173" s="908"/>
      <c r="U173" s="975"/>
      <c r="V173" s="521"/>
      <c r="W173" s="507"/>
      <c r="X173" s="909"/>
      <c r="Y173" s="14"/>
      <c r="Z173" s="14"/>
      <c r="AA173" s="14"/>
      <c r="AB173" s="289"/>
      <c r="AC173" s="14"/>
      <c r="AD173" s="622"/>
      <c r="AE173" s="507"/>
      <c r="AF173" s="507"/>
      <c r="AG173" s="507"/>
      <c r="AH173" s="286"/>
      <c r="AI173" s="507"/>
      <c r="AJ173" s="509"/>
      <c r="AK173" s="507"/>
      <c r="AL173" s="507"/>
      <c r="AM173" s="507"/>
      <c r="AN173" s="286"/>
      <c r="AO173" s="507"/>
      <c r="AP173" s="509"/>
      <c r="AQ173" s="634"/>
      <c r="AR173" s="606"/>
      <c r="AS173" s="394"/>
      <c r="AT173" s="393"/>
      <c r="AU173" s="395"/>
      <c r="AV173" s="278"/>
      <c r="AW173" s="278"/>
      <c r="AX173" s="278"/>
      <c r="AY173" s="278"/>
      <c r="AZ173" s="278"/>
      <c r="BA173" s="278"/>
      <c r="BB173" s="278"/>
      <c r="BC173" s="278"/>
      <c r="BD173" s="278"/>
    </row>
    <row r="174" spans="1:56">
      <c r="A174" s="869"/>
      <c r="B174" s="870"/>
      <c r="C174" s="891"/>
      <c r="D174" s="892"/>
      <c r="E174" s="873"/>
      <c r="F174" s="874"/>
      <c r="G174" s="507"/>
      <c r="H174" s="507"/>
      <c r="I174" s="511"/>
      <c r="J174" s="534"/>
      <c r="K174" s="518"/>
      <c r="L174" s="336"/>
      <c r="M174" s="914" t="s">
        <v>545</v>
      </c>
      <c r="N174" s="908" t="s">
        <v>2693</v>
      </c>
      <c r="O174" s="893" t="s">
        <v>114</v>
      </c>
      <c r="P174" s="517">
        <v>10</v>
      </c>
      <c r="Q174" s="518" t="s">
        <v>17</v>
      </c>
      <c r="R174" s="909">
        <v>160000</v>
      </c>
      <c r="S174" s="908" t="s">
        <v>545</v>
      </c>
      <c r="T174" s="908" t="s">
        <v>546</v>
      </c>
      <c r="U174" s="865" t="s">
        <v>31</v>
      </c>
      <c r="V174" s="286">
        <v>7</v>
      </c>
      <c r="W174" s="518" t="s">
        <v>17</v>
      </c>
      <c r="X174" s="866">
        <v>236200</v>
      </c>
      <c r="Y174" s="14"/>
      <c r="Z174" s="14"/>
      <c r="AA174" s="14"/>
      <c r="AB174" s="289"/>
      <c r="AC174" s="14"/>
      <c r="AD174" s="622"/>
      <c r="AE174" s="507"/>
      <c r="AF174" s="507"/>
      <c r="AG174" s="507"/>
      <c r="AH174" s="286"/>
      <c r="AI174" s="507"/>
      <c r="AJ174" s="509"/>
      <c r="AK174" s="507"/>
      <c r="AL174" s="507"/>
      <c r="AM174" s="507"/>
      <c r="AN174" s="286"/>
      <c r="AO174" s="507"/>
      <c r="AP174" s="509"/>
      <c r="AQ174" s="634"/>
      <c r="AR174" s="606"/>
      <c r="AS174" s="394"/>
      <c r="AT174" s="393"/>
      <c r="AU174" s="395"/>
      <c r="AV174" s="278"/>
      <c r="AW174" s="278"/>
      <c r="AX174" s="278"/>
      <c r="AY174" s="278"/>
      <c r="AZ174" s="278"/>
      <c r="BA174" s="278"/>
      <c r="BB174" s="278"/>
      <c r="BC174" s="278"/>
      <c r="BD174" s="278"/>
    </row>
    <row r="175" spans="1:56">
      <c r="A175" s="869"/>
      <c r="B175" s="870"/>
      <c r="C175" s="891"/>
      <c r="D175" s="892"/>
      <c r="E175" s="873"/>
      <c r="F175" s="874"/>
      <c r="G175" s="507"/>
      <c r="H175" s="507"/>
      <c r="I175" s="511"/>
      <c r="J175" s="534"/>
      <c r="K175" s="518"/>
      <c r="L175" s="336"/>
      <c r="M175" s="908"/>
      <c r="N175" s="908"/>
      <c r="O175" s="916"/>
      <c r="P175" s="521">
        <f>P174*F172/E172</f>
        <v>73299.999999999985</v>
      </c>
      <c r="Q175" s="507" t="s">
        <v>32</v>
      </c>
      <c r="R175" s="909"/>
      <c r="S175" s="908"/>
      <c r="T175" s="908"/>
      <c r="U175" s="865"/>
      <c r="V175" s="287">
        <f>F172/E172*V174</f>
        <v>51309.999999999993</v>
      </c>
      <c r="W175" s="507" t="s">
        <v>32</v>
      </c>
      <c r="X175" s="866"/>
      <c r="Y175" s="14"/>
      <c r="Z175" s="14"/>
      <c r="AA175" s="14"/>
      <c r="AB175" s="289"/>
      <c r="AC175" s="14"/>
      <c r="AD175" s="622"/>
      <c r="AE175" s="507"/>
      <c r="AF175" s="507"/>
      <c r="AG175" s="507"/>
      <c r="AH175" s="286"/>
      <c r="AI175" s="507"/>
      <c r="AJ175" s="509"/>
      <c r="AK175" s="507"/>
      <c r="AL175" s="507"/>
      <c r="AM175" s="507"/>
      <c r="AN175" s="286"/>
      <c r="AO175" s="507"/>
      <c r="AP175" s="509"/>
      <c r="AQ175" s="634"/>
      <c r="AR175" s="606"/>
      <c r="AS175" s="394"/>
      <c r="AT175" s="393"/>
      <c r="AU175" s="395"/>
      <c r="AV175" s="278"/>
      <c r="AW175" s="278"/>
      <c r="AX175" s="278"/>
      <c r="AY175" s="278"/>
      <c r="AZ175" s="278"/>
      <c r="BA175" s="278"/>
      <c r="BB175" s="278"/>
      <c r="BC175" s="278"/>
      <c r="BD175" s="278"/>
    </row>
    <row r="176" spans="1:56" ht="39.75" customHeight="1">
      <c r="A176" s="869">
        <v>48</v>
      </c>
      <c r="B176" s="870" t="s">
        <v>542</v>
      </c>
      <c r="C176" s="891" t="s">
        <v>547</v>
      </c>
      <c r="D176" s="892" t="s">
        <v>544</v>
      </c>
      <c r="E176" s="873">
        <v>40.134</v>
      </c>
      <c r="F176" s="874">
        <v>264884.39999999997</v>
      </c>
      <c r="G176" s="507"/>
      <c r="H176" s="507"/>
      <c r="I176" s="511"/>
      <c r="J176" s="534"/>
      <c r="K176" s="518"/>
      <c r="L176" s="336"/>
      <c r="M176" s="515"/>
      <c r="N176" s="515"/>
      <c r="O176" s="515" t="s">
        <v>482</v>
      </c>
      <c r="P176" s="521"/>
      <c r="Q176" s="513"/>
      <c r="R176" s="336"/>
      <c r="S176" s="908" t="s">
        <v>548</v>
      </c>
      <c r="T176" s="908" t="s">
        <v>549</v>
      </c>
      <c r="U176" s="865" t="s">
        <v>31</v>
      </c>
      <c r="V176" s="286">
        <v>6</v>
      </c>
      <c r="W176" s="518" t="s">
        <v>17</v>
      </c>
      <c r="X176" s="866">
        <v>188000</v>
      </c>
      <c r="Y176" s="908" t="s">
        <v>549</v>
      </c>
      <c r="Z176" s="908" t="s">
        <v>2576</v>
      </c>
      <c r="AA176" s="865" t="s">
        <v>31</v>
      </c>
      <c r="AB176" s="286">
        <v>6</v>
      </c>
      <c r="AC176" s="518" t="s">
        <v>17</v>
      </c>
      <c r="AD176" s="907">
        <v>241200</v>
      </c>
      <c r="AE176" s="507"/>
      <c r="AF176" s="507"/>
      <c r="AG176" s="507" t="s">
        <v>482</v>
      </c>
      <c r="AH176" s="286"/>
      <c r="AI176" s="507"/>
      <c r="AJ176" s="509"/>
      <c r="AK176" s="507"/>
      <c r="AL176" s="507"/>
      <c r="AM176" s="507" t="s">
        <v>482</v>
      </c>
      <c r="AN176" s="286"/>
      <c r="AO176" s="507"/>
      <c r="AP176" s="509"/>
      <c r="AQ176" s="634"/>
      <c r="AR176" s="606"/>
      <c r="AS176" s="394"/>
      <c r="AT176" s="393"/>
      <c r="AU176" s="395"/>
      <c r="AV176" s="278"/>
      <c r="AW176" s="278"/>
      <c r="AX176" s="278"/>
      <c r="AY176" s="278"/>
      <c r="AZ176" s="278"/>
      <c r="BA176" s="278"/>
      <c r="BB176" s="278"/>
      <c r="BC176" s="278"/>
      <c r="BD176" s="278"/>
    </row>
    <row r="177" spans="1:56" ht="39.75" customHeight="1">
      <c r="A177" s="869"/>
      <c r="B177" s="870"/>
      <c r="C177" s="891"/>
      <c r="D177" s="892"/>
      <c r="E177" s="873"/>
      <c r="F177" s="874"/>
      <c r="G177" s="507"/>
      <c r="H177" s="507"/>
      <c r="I177" s="511"/>
      <c r="J177" s="534"/>
      <c r="K177" s="518"/>
      <c r="L177" s="336"/>
      <c r="M177" s="515"/>
      <c r="N177" s="515"/>
      <c r="O177" s="515"/>
      <c r="P177" s="521"/>
      <c r="Q177" s="513"/>
      <c r="R177" s="336"/>
      <c r="S177" s="908"/>
      <c r="T177" s="908"/>
      <c r="U177" s="865"/>
      <c r="V177" s="287">
        <f>F176/E176*V176</f>
        <v>39599.999999999993</v>
      </c>
      <c r="W177" s="507" t="s">
        <v>32</v>
      </c>
      <c r="X177" s="866"/>
      <c r="Y177" s="908"/>
      <c r="Z177" s="908"/>
      <c r="AA177" s="865"/>
      <c r="AB177" s="287">
        <f>F176/E176*AB176</f>
        <v>39599.999999999993</v>
      </c>
      <c r="AC177" s="507" t="s">
        <v>32</v>
      </c>
      <c r="AD177" s="907"/>
      <c r="AE177" s="507"/>
      <c r="AF177" s="507"/>
      <c r="AG177" s="507"/>
      <c r="AH177" s="286"/>
      <c r="AI177" s="507"/>
      <c r="AJ177" s="509"/>
      <c r="AK177" s="507"/>
      <c r="AL177" s="507"/>
      <c r="AM177" s="507"/>
      <c r="AN177" s="286"/>
      <c r="AO177" s="507"/>
      <c r="AP177" s="509"/>
      <c r="AQ177" s="634"/>
      <c r="AR177" s="606"/>
      <c r="AS177" s="394"/>
      <c r="AT177" s="393"/>
      <c r="AU177" s="395"/>
      <c r="AV177" s="278"/>
      <c r="AW177" s="278"/>
      <c r="AX177" s="278"/>
      <c r="AY177" s="278"/>
      <c r="AZ177" s="278"/>
      <c r="BA177" s="278"/>
      <c r="BB177" s="278"/>
      <c r="BC177" s="278"/>
      <c r="BD177" s="278"/>
    </row>
    <row r="178" spans="1:56">
      <c r="A178" s="869">
        <v>49</v>
      </c>
      <c r="B178" s="870" t="s">
        <v>550</v>
      </c>
      <c r="C178" s="891" t="s">
        <v>551</v>
      </c>
      <c r="D178" s="892" t="s">
        <v>552</v>
      </c>
      <c r="E178" s="873">
        <v>21.19</v>
      </c>
      <c r="F178" s="874">
        <v>127140</v>
      </c>
      <c r="G178" s="507"/>
      <c r="H178" s="507"/>
      <c r="I178" s="511"/>
      <c r="J178" s="534"/>
      <c r="K178" s="518"/>
      <c r="L178" s="336"/>
      <c r="M178" s="908" t="s">
        <v>496</v>
      </c>
      <c r="N178" s="908" t="s">
        <v>553</v>
      </c>
      <c r="O178" s="893" t="s">
        <v>114</v>
      </c>
      <c r="P178" s="517">
        <v>6</v>
      </c>
      <c r="Q178" s="518" t="s">
        <v>17</v>
      </c>
      <c r="R178" s="909">
        <v>74601</v>
      </c>
      <c r="S178" s="908"/>
      <c r="T178" s="908"/>
      <c r="U178" s="865"/>
      <c r="V178" s="517"/>
      <c r="W178" s="518"/>
      <c r="X178" s="909"/>
      <c r="Y178" s="14"/>
      <c r="Z178" s="14"/>
      <c r="AA178" s="14"/>
      <c r="AB178" s="289"/>
      <c r="AC178" s="14"/>
      <c r="AD178" s="622"/>
      <c r="AE178" s="507"/>
      <c r="AF178" s="507"/>
      <c r="AG178" s="507" t="s">
        <v>482</v>
      </c>
      <c r="AH178" s="286"/>
      <c r="AI178" s="507"/>
      <c r="AJ178" s="509"/>
      <c r="AK178" s="507"/>
      <c r="AL178" s="507"/>
      <c r="AM178" s="507" t="s">
        <v>482</v>
      </c>
      <c r="AN178" s="286"/>
      <c r="AO178" s="507"/>
      <c r="AP178" s="509"/>
      <c r="AQ178" s="634"/>
      <c r="AR178" s="606"/>
      <c r="AS178" s="394"/>
      <c r="AT178" s="393"/>
      <c r="AU178" s="395"/>
      <c r="AV178" s="278"/>
      <c r="AW178" s="278"/>
      <c r="AX178" s="278"/>
      <c r="AY178" s="278"/>
      <c r="AZ178" s="278"/>
      <c r="BA178" s="278"/>
      <c r="BB178" s="278"/>
      <c r="BC178" s="278"/>
      <c r="BD178" s="278"/>
    </row>
    <row r="179" spans="1:56">
      <c r="A179" s="869"/>
      <c r="B179" s="870"/>
      <c r="C179" s="891"/>
      <c r="D179" s="892"/>
      <c r="E179" s="873"/>
      <c r="F179" s="874"/>
      <c r="G179" s="507"/>
      <c r="H179" s="507"/>
      <c r="I179" s="511"/>
      <c r="J179" s="534"/>
      <c r="K179" s="518"/>
      <c r="L179" s="336"/>
      <c r="M179" s="908"/>
      <c r="N179" s="908"/>
      <c r="O179" s="916"/>
      <c r="P179" s="521">
        <f>P178*F178/E178</f>
        <v>36000</v>
      </c>
      <c r="Q179" s="507" t="s">
        <v>32</v>
      </c>
      <c r="R179" s="909"/>
      <c r="S179" s="908"/>
      <c r="T179" s="908"/>
      <c r="U179" s="975"/>
      <c r="V179" s="521"/>
      <c r="W179" s="507"/>
      <c r="X179" s="909"/>
      <c r="Y179" s="14"/>
      <c r="Z179" s="14"/>
      <c r="AA179" s="14"/>
      <c r="AB179" s="289"/>
      <c r="AC179" s="14"/>
      <c r="AD179" s="622"/>
      <c r="AE179" s="507"/>
      <c r="AF179" s="507"/>
      <c r="AG179" s="507"/>
      <c r="AH179" s="286"/>
      <c r="AI179" s="507"/>
      <c r="AJ179" s="509"/>
      <c r="AK179" s="507"/>
      <c r="AL179" s="507"/>
      <c r="AM179" s="507"/>
      <c r="AN179" s="286"/>
      <c r="AO179" s="507"/>
      <c r="AP179" s="509"/>
      <c r="AQ179" s="634"/>
      <c r="AR179" s="606"/>
      <c r="AS179" s="394"/>
      <c r="AT179" s="393"/>
      <c r="AU179" s="395"/>
      <c r="AV179" s="278"/>
      <c r="AW179" s="278"/>
      <c r="AX179" s="278"/>
      <c r="AY179" s="278"/>
      <c r="AZ179" s="278"/>
      <c r="BA179" s="278"/>
      <c r="BB179" s="278"/>
      <c r="BC179" s="278"/>
      <c r="BD179" s="278"/>
    </row>
    <row r="180" spans="1:56">
      <c r="A180" s="869"/>
      <c r="B180" s="870"/>
      <c r="C180" s="891"/>
      <c r="D180" s="892"/>
      <c r="E180" s="873"/>
      <c r="F180" s="874"/>
      <c r="G180" s="507"/>
      <c r="H180" s="507"/>
      <c r="I180" s="511"/>
      <c r="J180" s="534"/>
      <c r="K180" s="518"/>
      <c r="L180" s="336"/>
      <c r="M180" s="515"/>
      <c r="N180" s="515"/>
      <c r="O180" s="513"/>
      <c r="P180" s="521"/>
      <c r="Q180" s="507"/>
      <c r="R180" s="336"/>
      <c r="S180" s="908" t="s">
        <v>553</v>
      </c>
      <c r="T180" s="908" t="s">
        <v>554</v>
      </c>
      <c r="U180" s="865" t="s">
        <v>31</v>
      </c>
      <c r="V180" s="286">
        <v>4</v>
      </c>
      <c r="W180" s="518" t="s">
        <v>17</v>
      </c>
      <c r="X180" s="866">
        <v>111000</v>
      </c>
      <c r="Y180" s="14"/>
      <c r="Z180" s="14"/>
      <c r="AA180" s="14"/>
      <c r="AB180" s="289"/>
      <c r="AC180" s="14"/>
      <c r="AD180" s="622"/>
      <c r="AE180" s="507"/>
      <c r="AF180" s="507"/>
      <c r="AG180" s="507"/>
      <c r="AH180" s="286"/>
      <c r="AI180" s="507"/>
      <c r="AJ180" s="509"/>
      <c r="AK180" s="507"/>
      <c r="AL180" s="507"/>
      <c r="AM180" s="507"/>
      <c r="AN180" s="286"/>
      <c r="AO180" s="507"/>
      <c r="AP180" s="509"/>
      <c r="AQ180" s="634"/>
      <c r="AR180" s="606"/>
      <c r="AS180" s="394"/>
      <c r="AT180" s="393"/>
      <c r="AU180" s="395"/>
      <c r="AV180" s="278"/>
      <c r="AW180" s="278"/>
      <c r="AX180" s="278"/>
      <c r="AY180" s="278"/>
      <c r="AZ180" s="278"/>
      <c r="BA180" s="278"/>
      <c r="BB180" s="278"/>
      <c r="BC180" s="278"/>
      <c r="BD180" s="278"/>
    </row>
    <row r="181" spans="1:56">
      <c r="A181" s="869"/>
      <c r="B181" s="870"/>
      <c r="C181" s="891"/>
      <c r="D181" s="892"/>
      <c r="E181" s="873"/>
      <c r="F181" s="874"/>
      <c r="G181" s="507"/>
      <c r="H181" s="507"/>
      <c r="I181" s="511"/>
      <c r="J181" s="534"/>
      <c r="K181" s="518"/>
      <c r="L181" s="336"/>
      <c r="M181" s="515"/>
      <c r="N181" s="515"/>
      <c r="O181" s="513"/>
      <c r="P181" s="521"/>
      <c r="Q181" s="507"/>
      <c r="R181" s="336"/>
      <c r="S181" s="908"/>
      <c r="T181" s="908"/>
      <c r="U181" s="865"/>
      <c r="V181" s="287">
        <f>F178/E178*V180</f>
        <v>24000</v>
      </c>
      <c r="W181" s="507" t="s">
        <v>32</v>
      </c>
      <c r="X181" s="866"/>
      <c r="Y181" s="14"/>
      <c r="Z181" s="14"/>
      <c r="AA181" s="14"/>
      <c r="AB181" s="289"/>
      <c r="AC181" s="14"/>
      <c r="AD181" s="622"/>
      <c r="AE181" s="507"/>
      <c r="AF181" s="507"/>
      <c r="AG181" s="507"/>
      <c r="AH181" s="286"/>
      <c r="AI181" s="507"/>
      <c r="AJ181" s="509"/>
      <c r="AK181" s="507"/>
      <c r="AL181" s="507"/>
      <c r="AM181" s="507"/>
      <c r="AN181" s="286"/>
      <c r="AO181" s="507"/>
      <c r="AP181" s="509"/>
      <c r="AQ181" s="634"/>
      <c r="AR181" s="606"/>
      <c r="AS181" s="394"/>
      <c r="AT181" s="393"/>
      <c r="AU181" s="395"/>
      <c r="AV181" s="278"/>
      <c r="AW181" s="278"/>
      <c r="AX181" s="278"/>
      <c r="AY181" s="278"/>
      <c r="AZ181" s="278"/>
      <c r="BA181" s="278"/>
      <c r="BB181" s="278"/>
      <c r="BC181" s="278"/>
      <c r="BD181" s="278"/>
    </row>
    <row r="182" spans="1:56">
      <c r="A182" s="869">
        <v>50</v>
      </c>
      <c r="B182" s="870" t="s">
        <v>550</v>
      </c>
      <c r="C182" s="891" t="s">
        <v>555</v>
      </c>
      <c r="D182" s="892" t="s">
        <v>552</v>
      </c>
      <c r="E182" s="873">
        <v>17.2</v>
      </c>
      <c r="F182" s="874">
        <v>103158</v>
      </c>
      <c r="G182" s="865" t="s">
        <v>556</v>
      </c>
      <c r="H182" s="865" t="s">
        <v>557</v>
      </c>
      <c r="I182" s="893" t="s">
        <v>114</v>
      </c>
      <c r="J182" s="9">
        <v>6</v>
      </c>
      <c r="K182" s="518" t="s">
        <v>17</v>
      </c>
      <c r="L182" s="909">
        <f>56683.56647</f>
        <v>56683.566469999998</v>
      </c>
      <c r="M182" s="865"/>
      <c r="N182" s="865"/>
      <c r="O182" s="865"/>
      <c r="P182" s="286"/>
      <c r="Q182" s="518"/>
      <c r="R182" s="909"/>
      <c r="S182" s="515"/>
      <c r="T182" s="515"/>
      <c r="U182" s="515"/>
      <c r="V182" s="521"/>
      <c r="W182" s="275"/>
      <c r="X182" s="336"/>
      <c r="Y182" s="507"/>
      <c r="Z182" s="507"/>
      <c r="AA182" s="507" t="s">
        <v>482</v>
      </c>
      <c r="AB182" s="286"/>
      <c r="AC182" s="274"/>
      <c r="AD182" s="509"/>
      <c r="AE182" s="507"/>
      <c r="AF182" s="507"/>
      <c r="AG182" s="507" t="s">
        <v>482</v>
      </c>
      <c r="AH182" s="286"/>
      <c r="AI182" s="507"/>
      <c r="AJ182" s="509"/>
      <c r="AK182" s="507"/>
      <c r="AL182" s="507"/>
      <c r="AM182" s="507" t="s">
        <v>482</v>
      </c>
      <c r="AN182" s="286"/>
      <c r="AO182" s="507"/>
      <c r="AP182" s="509"/>
      <c r="AQ182" s="634"/>
      <c r="AR182" s="606"/>
      <c r="AS182" s="394"/>
      <c r="AT182" s="393"/>
      <c r="AU182" s="395"/>
      <c r="AV182" s="278"/>
      <c r="AW182" s="278"/>
      <c r="AX182" s="278"/>
      <c r="AY182" s="278"/>
      <c r="AZ182" s="278"/>
      <c r="BA182" s="278"/>
      <c r="BB182" s="278"/>
      <c r="BC182" s="278"/>
      <c r="BD182" s="278"/>
    </row>
    <row r="183" spans="1:56">
      <c r="A183" s="869"/>
      <c r="B183" s="870"/>
      <c r="C183" s="891"/>
      <c r="D183" s="892"/>
      <c r="E183" s="873"/>
      <c r="F183" s="874"/>
      <c r="G183" s="865"/>
      <c r="H183" s="865"/>
      <c r="I183" s="916"/>
      <c r="J183" s="534">
        <f>J182*F182/E182</f>
        <v>35985.348837209305</v>
      </c>
      <c r="K183" s="507" t="s">
        <v>32</v>
      </c>
      <c r="L183" s="909"/>
      <c r="M183" s="865"/>
      <c r="N183" s="865"/>
      <c r="O183" s="975"/>
      <c r="P183" s="287"/>
      <c r="Q183" s="507"/>
      <c r="R183" s="909"/>
      <c r="S183" s="515"/>
      <c r="T183" s="515"/>
      <c r="U183" s="515"/>
      <c r="V183" s="521"/>
      <c r="W183" s="275"/>
      <c r="X183" s="336"/>
      <c r="Y183" s="507"/>
      <c r="Z183" s="507"/>
      <c r="AA183" s="507"/>
      <c r="AB183" s="286"/>
      <c r="AC183" s="274"/>
      <c r="AD183" s="509"/>
      <c r="AE183" s="507"/>
      <c r="AF183" s="507"/>
      <c r="AG183" s="507"/>
      <c r="AH183" s="286"/>
      <c r="AI183" s="507"/>
      <c r="AJ183" s="509"/>
      <c r="AK183" s="507"/>
      <c r="AL183" s="507"/>
      <c r="AM183" s="507"/>
      <c r="AN183" s="286"/>
      <c r="AO183" s="507"/>
      <c r="AP183" s="509"/>
      <c r="AQ183" s="634"/>
      <c r="AR183" s="606"/>
      <c r="AS183" s="394"/>
      <c r="AT183" s="393"/>
      <c r="AU183" s="395"/>
      <c r="AV183" s="278"/>
      <c r="AW183" s="278"/>
      <c r="AX183" s="278"/>
      <c r="AY183" s="278"/>
      <c r="AZ183" s="278"/>
      <c r="BA183" s="278"/>
      <c r="BB183" s="278"/>
      <c r="BC183" s="278"/>
      <c r="BD183" s="278"/>
    </row>
    <row r="184" spans="1:56" ht="39">
      <c r="A184" s="869"/>
      <c r="B184" s="870"/>
      <c r="C184" s="891"/>
      <c r="D184" s="892"/>
      <c r="E184" s="873"/>
      <c r="F184" s="874"/>
      <c r="G184" s="865"/>
      <c r="H184" s="865"/>
      <c r="I184" s="512" t="s">
        <v>2682</v>
      </c>
      <c r="J184" s="534">
        <v>1</v>
      </c>
      <c r="K184" s="507" t="s">
        <v>118</v>
      </c>
      <c r="L184" s="336">
        <v>30</v>
      </c>
      <c r="M184" s="507"/>
      <c r="N184" s="507"/>
      <c r="O184" s="513"/>
      <c r="P184" s="287"/>
      <c r="Q184" s="507"/>
      <c r="R184" s="336"/>
      <c r="S184" s="515"/>
      <c r="T184" s="515"/>
      <c r="U184" s="515"/>
      <c r="V184" s="521"/>
      <c r="W184" s="275"/>
      <c r="X184" s="336"/>
      <c r="Y184" s="507"/>
      <c r="Z184" s="507"/>
      <c r="AA184" s="507"/>
      <c r="AB184" s="286"/>
      <c r="AC184" s="274"/>
      <c r="AD184" s="509"/>
      <c r="AE184" s="507"/>
      <c r="AF184" s="507"/>
      <c r="AG184" s="507"/>
      <c r="AH184" s="286"/>
      <c r="AI184" s="507"/>
      <c r="AJ184" s="509"/>
      <c r="AK184" s="507"/>
      <c r="AL184" s="507"/>
      <c r="AM184" s="507"/>
      <c r="AN184" s="286"/>
      <c r="AO184" s="507"/>
      <c r="AP184" s="509"/>
      <c r="AQ184" s="634"/>
      <c r="AR184" s="606"/>
      <c r="AS184" s="394"/>
      <c r="AT184" s="393"/>
      <c r="AU184" s="395"/>
      <c r="AV184" s="278"/>
      <c r="AW184" s="278"/>
      <c r="AX184" s="278"/>
      <c r="AY184" s="278"/>
      <c r="AZ184" s="278"/>
      <c r="BA184" s="278"/>
      <c r="BB184" s="278"/>
      <c r="BC184" s="278"/>
      <c r="BD184" s="278"/>
    </row>
    <row r="185" spans="1:56">
      <c r="A185" s="869"/>
      <c r="B185" s="870"/>
      <c r="C185" s="891"/>
      <c r="D185" s="892"/>
      <c r="E185" s="873"/>
      <c r="F185" s="874"/>
      <c r="G185" s="865" t="s">
        <v>557</v>
      </c>
      <c r="H185" s="865" t="s">
        <v>558</v>
      </c>
      <c r="I185" s="893" t="s">
        <v>114</v>
      </c>
      <c r="J185" s="507">
        <v>9</v>
      </c>
      <c r="K185" s="518" t="s">
        <v>17</v>
      </c>
      <c r="L185" s="909">
        <v>85876.414560000005</v>
      </c>
      <c r="M185" s="507"/>
      <c r="N185" s="507"/>
      <c r="O185" s="513"/>
      <c r="P185" s="287"/>
      <c r="Q185" s="507"/>
      <c r="R185" s="336"/>
      <c r="S185" s="515"/>
      <c r="T185" s="515"/>
      <c r="U185" s="515"/>
      <c r="V185" s="521"/>
      <c r="W185" s="275"/>
      <c r="X185" s="336"/>
      <c r="Y185" s="507"/>
      <c r="Z185" s="507"/>
      <c r="AA185" s="507"/>
      <c r="AB185" s="286"/>
      <c r="AC185" s="274"/>
      <c r="AD185" s="509"/>
      <c r="AE185" s="507"/>
      <c r="AF185" s="507"/>
      <c r="AG185" s="507"/>
      <c r="AH185" s="286"/>
      <c r="AI185" s="507"/>
      <c r="AJ185" s="509"/>
      <c r="AK185" s="507"/>
      <c r="AL185" s="507"/>
      <c r="AM185" s="507"/>
      <c r="AN185" s="286"/>
      <c r="AO185" s="507"/>
      <c r="AP185" s="509"/>
      <c r="AQ185" s="634"/>
      <c r="AR185" s="606"/>
      <c r="AS185" s="394"/>
      <c r="AT185" s="393"/>
      <c r="AU185" s="395"/>
      <c r="AV185" s="278"/>
      <c r="AW185" s="278"/>
      <c r="AX185" s="278"/>
      <c r="AY185" s="278"/>
      <c r="AZ185" s="278"/>
      <c r="BA185" s="278"/>
      <c r="BB185" s="278"/>
      <c r="BC185" s="278"/>
      <c r="BD185" s="278"/>
    </row>
    <row r="186" spans="1:56">
      <c r="A186" s="869"/>
      <c r="B186" s="870"/>
      <c r="C186" s="891"/>
      <c r="D186" s="892"/>
      <c r="E186" s="873"/>
      <c r="F186" s="874"/>
      <c r="G186" s="865"/>
      <c r="H186" s="865"/>
      <c r="I186" s="916"/>
      <c r="J186" s="534">
        <f>J185*F182/E182</f>
        <v>53978.023255813954</v>
      </c>
      <c r="K186" s="507" t="s">
        <v>32</v>
      </c>
      <c r="L186" s="909"/>
      <c r="M186" s="507"/>
      <c r="N186" s="507"/>
      <c r="O186" s="513"/>
      <c r="P186" s="287"/>
      <c r="Q186" s="507"/>
      <c r="R186" s="336"/>
      <c r="S186" s="515"/>
      <c r="T186" s="515"/>
      <c r="U186" s="515"/>
      <c r="V186" s="521"/>
      <c r="W186" s="275"/>
      <c r="X186" s="336"/>
      <c r="Y186" s="507"/>
      <c r="Z186" s="507"/>
      <c r="AA186" s="507"/>
      <c r="AB186" s="286"/>
      <c r="AC186" s="274"/>
      <c r="AD186" s="509"/>
      <c r="AE186" s="507"/>
      <c r="AF186" s="507"/>
      <c r="AG186" s="507"/>
      <c r="AH186" s="286"/>
      <c r="AI186" s="507"/>
      <c r="AJ186" s="509"/>
      <c r="AK186" s="507"/>
      <c r="AL186" s="507"/>
      <c r="AM186" s="507"/>
      <c r="AN186" s="286"/>
      <c r="AO186" s="507"/>
      <c r="AP186" s="509"/>
      <c r="AQ186" s="634"/>
      <c r="AR186" s="606"/>
      <c r="AS186" s="394"/>
      <c r="AT186" s="393"/>
      <c r="AU186" s="395"/>
      <c r="AV186" s="278"/>
      <c r="AW186" s="278"/>
      <c r="AX186" s="278"/>
      <c r="AY186" s="278"/>
      <c r="AZ186" s="278"/>
      <c r="BA186" s="278"/>
      <c r="BB186" s="278"/>
      <c r="BC186" s="278"/>
      <c r="BD186" s="278"/>
    </row>
    <row r="187" spans="1:56" ht="39">
      <c r="A187" s="869"/>
      <c r="B187" s="870"/>
      <c r="C187" s="891"/>
      <c r="D187" s="892"/>
      <c r="E187" s="873"/>
      <c r="F187" s="874"/>
      <c r="G187" s="865"/>
      <c r="H187" s="865"/>
      <c r="I187" s="512" t="s">
        <v>2682</v>
      </c>
      <c r="J187" s="534">
        <v>1</v>
      </c>
      <c r="K187" s="507" t="s">
        <v>118</v>
      </c>
      <c r="L187" s="336">
        <v>45</v>
      </c>
      <c r="M187" s="507"/>
      <c r="N187" s="507"/>
      <c r="O187" s="513"/>
      <c r="P187" s="287"/>
      <c r="Q187" s="507"/>
      <c r="R187" s="336"/>
      <c r="S187" s="515"/>
      <c r="T187" s="515"/>
      <c r="U187" s="515"/>
      <c r="V187" s="521"/>
      <c r="W187" s="275"/>
      <c r="X187" s="336"/>
      <c r="Y187" s="507"/>
      <c r="Z187" s="507"/>
      <c r="AA187" s="507"/>
      <c r="AB187" s="286"/>
      <c r="AC187" s="274"/>
      <c r="AD187" s="509"/>
      <c r="AE187" s="507"/>
      <c r="AF187" s="507"/>
      <c r="AG187" s="507"/>
      <c r="AH187" s="286"/>
      <c r="AI187" s="507"/>
      <c r="AJ187" s="509"/>
      <c r="AK187" s="507"/>
      <c r="AL187" s="507"/>
      <c r="AM187" s="507"/>
      <c r="AN187" s="286"/>
      <c r="AO187" s="507"/>
      <c r="AP187" s="509"/>
      <c r="AQ187" s="634"/>
      <c r="AR187" s="606"/>
      <c r="AS187" s="394"/>
      <c r="AT187" s="393"/>
      <c r="AU187" s="395"/>
      <c r="AV187" s="278"/>
      <c r="AW187" s="278"/>
      <c r="AX187" s="278"/>
      <c r="AY187" s="278"/>
      <c r="AZ187" s="278"/>
      <c r="BA187" s="278"/>
      <c r="BB187" s="278"/>
      <c r="BC187" s="278"/>
      <c r="BD187" s="278"/>
    </row>
    <row r="188" spans="1:56" ht="39" customHeight="1">
      <c r="A188" s="869">
        <v>51</v>
      </c>
      <c r="B188" s="870" t="s">
        <v>559</v>
      </c>
      <c r="C188" s="891" t="s">
        <v>560</v>
      </c>
      <c r="D188" s="892" t="s">
        <v>561</v>
      </c>
      <c r="E188" s="873">
        <v>29.725000000000001</v>
      </c>
      <c r="F188" s="874">
        <v>180430.75</v>
      </c>
      <c r="G188" s="507"/>
      <c r="H188" s="507"/>
      <c r="I188" s="511"/>
      <c r="J188" s="534"/>
      <c r="K188" s="518"/>
      <c r="L188" s="336"/>
      <c r="M188" s="908"/>
      <c r="N188" s="908"/>
      <c r="O188" s="914"/>
      <c r="P188" s="979"/>
      <c r="Q188" s="977"/>
      <c r="R188" s="909"/>
      <c r="S188" s="513"/>
      <c r="T188" s="513"/>
      <c r="U188" s="513"/>
      <c r="V188" s="288"/>
      <c r="W188" s="513"/>
      <c r="X188" s="605"/>
      <c r="Y188" s="908" t="s">
        <v>60</v>
      </c>
      <c r="Z188" s="908" t="s">
        <v>485</v>
      </c>
      <c r="AA188" s="908" t="s">
        <v>31</v>
      </c>
      <c r="AB188" s="286">
        <v>10.3</v>
      </c>
      <c r="AC188" s="518" t="s">
        <v>17</v>
      </c>
      <c r="AD188" s="907">
        <v>415200</v>
      </c>
      <c r="AE188" s="507"/>
      <c r="AF188" s="507"/>
      <c r="AG188" s="507"/>
      <c r="AH188" s="286"/>
      <c r="AI188" s="507"/>
      <c r="AJ188" s="509"/>
      <c r="AK188" s="507"/>
      <c r="AL188" s="507"/>
      <c r="AM188" s="507"/>
      <c r="AN188" s="286"/>
      <c r="AO188" s="507"/>
      <c r="AP188" s="509"/>
      <c r="AQ188" s="634"/>
      <c r="AR188" s="606"/>
      <c r="AS188" s="394"/>
      <c r="AT188" s="393"/>
      <c r="AU188" s="395"/>
      <c r="AV188" s="278"/>
      <c r="AW188" s="278"/>
      <c r="AX188" s="278"/>
      <c r="AY188" s="278"/>
      <c r="AZ188" s="278"/>
      <c r="BA188" s="278"/>
      <c r="BB188" s="278"/>
      <c r="BC188" s="278"/>
      <c r="BD188" s="278"/>
    </row>
    <row r="189" spans="1:56" ht="39" customHeight="1">
      <c r="A189" s="869"/>
      <c r="B189" s="870"/>
      <c r="C189" s="891"/>
      <c r="D189" s="892"/>
      <c r="E189" s="873"/>
      <c r="F189" s="874"/>
      <c r="G189" s="507"/>
      <c r="H189" s="507"/>
      <c r="I189" s="511"/>
      <c r="J189" s="534"/>
      <c r="K189" s="518"/>
      <c r="L189" s="336"/>
      <c r="M189" s="908"/>
      <c r="N189" s="908"/>
      <c r="O189" s="914"/>
      <c r="P189" s="979"/>
      <c r="Q189" s="977"/>
      <c r="R189" s="909"/>
      <c r="S189" s="513"/>
      <c r="T189" s="513"/>
      <c r="U189" s="513"/>
      <c r="V189" s="288"/>
      <c r="W189" s="513"/>
      <c r="X189" s="605"/>
      <c r="Y189" s="908"/>
      <c r="Z189" s="908"/>
      <c r="AA189" s="908"/>
      <c r="AB189" s="287">
        <f>F188/E188*AB188</f>
        <v>62521.000000000007</v>
      </c>
      <c r="AC189" s="507" t="s">
        <v>32</v>
      </c>
      <c r="AD189" s="907"/>
      <c r="AE189" s="507"/>
      <c r="AF189" s="507"/>
      <c r="AG189" s="507"/>
      <c r="AH189" s="286"/>
      <c r="AI189" s="507"/>
      <c r="AJ189" s="509"/>
      <c r="AK189" s="507"/>
      <c r="AL189" s="507"/>
      <c r="AM189" s="507"/>
      <c r="AN189" s="286"/>
      <c r="AO189" s="507"/>
      <c r="AP189" s="509"/>
      <c r="AQ189" s="634"/>
      <c r="AR189" s="606"/>
      <c r="AS189" s="394"/>
      <c r="AT189" s="393"/>
      <c r="AU189" s="395"/>
      <c r="AV189" s="278"/>
      <c r="AW189" s="278"/>
      <c r="AX189" s="278"/>
      <c r="AY189" s="278"/>
      <c r="AZ189" s="278"/>
      <c r="BA189" s="278"/>
      <c r="BB189" s="278"/>
      <c r="BC189" s="278"/>
      <c r="BD189" s="278"/>
    </row>
    <row r="190" spans="1:56" ht="39" customHeight="1">
      <c r="A190" s="869">
        <v>52</v>
      </c>
      <c r="B190" s="870" t="s">
        <v>562</v>
      </c>
      <c r="C190" s="891" t="s">
        <v>563</v>
      </c>
      <c r="D190" s="892" t="s">
        <v>564</v>
      </c>
      <c r="E190" s="873">
        <v>50.17</v>
      </c>
      <c r="F190" s="874">
        <v>378281.8</v>
      </c>
      <c r="G190" s="507"/>
      <c r="H190" s="507"/>
      <c r="I190" s="512"/>
      <c r="J190" s="136"/>
      <c r="K190" s="518"/>
      <c r="L190" s="625"/>
      <c r="M190" s="507"/>
      <c r="N190" s="507"/>
      <c r="O190" s="513"/>
      <c r="P190" s="287"/>
      <c r="Q190" s="507"/>
      <c r="R190" s="336"/>
      <c r="S190" s="914"/>
      <c r="T190" s="914"/>
      <c r="U190" s="865"/>
      <c r="V190" s="521"/>
      <c r="W190" s="518"/>
      <c r="X190" s="909"/>
      <c r="Y190" s="908" t="s">
        <v>60</v>
      </c>
      <c r="Z190" s="908" t="s">
        <v>2979</v>
      </c>
      <c r="AA190" s="865" t="s">
        <v>31</v>
      </c>
      <c r="AB190" s="286">
        <v>5.5</v>
      </c>
      <c r="AC190" s="518" t="s">
        <v>17</v>
      </c>
      <c r="AD190" s="907">
        <v>232100</v>
      </c>
      <c r="AE190" s="507"/>
      <c r="AF190" s="507"/>
      <c r="AG190" s="865" t="s">
        <v>31</v>
      </c>
      <c r="AH190" s="286">
        <v>3</v>
      </c>
      <c r="AI190" s="518" t="s">
        <v>17</v>
      </c>
      <c r="AJ190" s="907">
        <v>180000</v>
      </c>
      <c r="AK190" s="129"/>
      <c r="AL190" s="129"/>
      <c r="AM190" s="513"/>
      <c r="AN190" s="288"/>
      <c r="AO190" s="513"/>
      <c r="AP190" s="626"/>
      <c r="AQ190" s="634"/>
      <c r="AR190" s="606"/>
      <c r="AS190" s="394"/>
      <c r="AT190" s="393"/>
      <c r="AU190" s="395"/>
      <c r="AV190" s="278"/>
      <c r="AW190" s="278"/>
      <c r="AX190" s="278"/>
      <c r="AY190" s="278"/>
      <c r="AZ190" s="278"/>
      <c r="BA190" s="278"/>
      <c r="BB190" s="278"/>
      <c r="BC190" s="278"/>
      <c r="BD190" s="278"/>
    </row>
    <row r="191" spans="1:56" ht="39" customHeight="1">
      <c r="A191" s="869"/>
      <c r="B191" s="870"/>
      <c r="C191" s="915"/>
      <c r="D191" s="892"/>
      <c r="E191" s="873"/>
      <c r="F191" s="874"/>
      <c r="G191" s="507"/>
      <c r="H191" s="507"/>
      <c r="I191" s="512"/>
      <c r="J191" s="136"/>
      <c r="K191" s="518"/>
      <c r="L191" s="625"/>
      <c r="M191" s="507"/>
      <c r="N191" s="507"/>
      <c r="O191" s="513"/>
      <c r="P191" s="287"/>
      <c r="Q191" s="507"/>
      <c r="R191" s="336"/>
      <c r="S191" s="914"/>
      <c r="T191" s="914"/>
      <c r="U191" s="865"/>
      <c r="V191" s="521"/>
      <c r="W191" s="507"/>
      <c r="X191" s="909"/>
      <c r="Y191" s="908"/>
      <c r="Z191" s="908"/>
      <c r="AA191" s="865"/>
      <c r="AB191" s="287">
        <f>F190/E190*AB190</f>
        <v>41469.999999999993</v>
      </c>
      <c r="AC191" s="507" t="s">
        <v>32</v>
      </c>
      <c r="AD191" s="907"/>
      <c r="AE191" s="507"/>
      <c r="AF191" s="507"/>
      <c r="AG191" s="865"/>
      <c r="AH191" s="286">
        <f>F190/E190*AH190</f>
        <v>22619.999999999996</v>
      </c>
      <c r="AI191" s="507" t="s">
        <v>32</v>
      </c>
      <c r="AJ191" s="907"/>
      <c r="AK191" s="129"/>
      <c r="AL191" s="129"/>
      <c r="AM191" s="513"/>
      <c r="AN191" s="288"/>
      <c r="AO191" s="513"/>
      <c r="AP191" s="626"/>
      <c r="AQ191" s="634"/>
      <c r="AR191" s="606"/>
      <c r="AS191" s="394"/>
      <c r="AT191" s="393"/>
      <c r="AU191" s="395"/>
      <c r="AV191" s="278"/>
      <c r="AW191" s="278"/>
      <c r="AX191" s="278"/>
      <c r="AY191" s="278"/>
      <c r="AZ191" s="278"/>
      <c r="BA191" s="278"/>
      <c r="BB191" s="278"/>
      <c r="BC191" s="278"/>
      <c r="BD191" s="278"/>
    </row>
    <row r="192" spans="1:56" ht="36" customHeight="1">
      <c r="A192" s="869">
        <v>53</v>
      </c>
      <c r="B192" s="870" t="s">
        <v>562</v>
      </c>
      <c r="C192" s="891" t="s">
        <v>565</v>
      </c>
      <c r="D192" s="892" t="s">
        <v>564</v>
      </c>
      <c r="E192" s="873">
        <v>32.67</v>
      </c>
      <c r="F192" s="874">
        <v>228690</v>
      </c>
      <c r="G192" s="893" t="s">
        <v>3502</v>
      </c>
      <c r="H192" s="893" t="s">
        <v>567</v>
      </c>
      <c r="I192" s="893" t="s">
        <v>117</v>
      </c>
      <c r="J192" s="534"/>
      <c r="K192" s="518" t="s">
        <v>17</v>
      </c>
      <c r="L192" s="866">
        <f>104782.456</f>
        <v>104782.45600000001</v>
      </c>
      <c r="M192" s="893" t="s">
        <v>60</v>
      </c>
      <c r="N192" s="893" t="s">
        <v>2694</v>
      </c>
      <c r="O192" s="865" t="s">
        <v>117</v>
      </c>
      <c r="P192" s="286">
        <v>12.9</v>
      </c>
      <c r="Q192" s="518" t="s">
        <v>17</v>
      </c>
      <c r="R192" s="866">
        <f>200670/13.8*P192</f>
        <v>187582.82608695651</v>
      </c>
      <c r="S192" s="908" t="s">
        <v>566</v>
      </c>
      <c r="T192" s="908" t="s">
        <v>567</v>
      </c>
      <c r="U192" s="865" t="s">
        <v>31</v>
      </c>
      <c r="V192" s="286">
        <v>7.1</v>
      </c>
      <c r="W192" s="518" t="s">
        <v>17</v>
      </c>
      <c r="X192" s="866">
        <v>177099.15482</v>
      </c>
      <c r="Y192" s="507"/>
      <c r="Z192" s="507"/>
      <c r="AA192" s="865"/>
      <c r="AB192" s="286"/>
      <c r="AC192" s="518"/>
      <c r="AD192" s="907"/>
      <c r="AE192" s="865"/>
      <c r="AF192" s="865"/>
      <c r="AG192" s="865" t="s">
        <v>31</v>
      </c>
      <c r="AH192" s="286">
        <v>1</v>
      </c>
      <c r="AI192" s="518" t="s">
        <v>17</v>
      </c>
      <c r="AJ192" s="907">
        <v>60000</v>
      </c>
      <c r="AK192" s="507"/>
      <c r="AL192" s="507"/>
      <c r="AM192" s="507" t="s">
        <v>482</v>
      </c>
      <c r="AN192" s="286"/>
      <c r="AO192" s="507"/>
      <c r="AP192" s="509"/>
      <c r="AQ192" s="634"/>
      <c r="AR192" s="606"/>
      <c r="AS192" s="394"/>
      <c r="AT192" s="393"/>
      <c r="AU192" s="395"/>
      <c r="AV192" s="278"/>
      <c r="AW192" s="278"/>
      <c r="AX192" s="278"/>
      <c r="AY192" s="278"/>
      <c r="AZ192" s="278"/>
      <c r="BA192" s="278"/>
      <c r="BB192" s="278"/>
      <c r="BC192" s="278"/>
      <c r="BD192" s="278"/>
    </row>
    <row r="193" spans="1:56" ht="36" customHeight="1">
      <c r="A193" s="869"/>
      <c r="B193" s="870"/>
      <c r="C193" s="891"/>
      <c r="D193" s="892"/>
      <c r="E193" s="873"/>
      <c r="F193" s="874"/>
      <c r="G193" s="893"/>
      <c r="H193" s="893"/>
      <c r="I193" s="893"/>
      <c r="J193" s="534"/>
      <c r="K193" s="507" t="s">
        <v>32</v>
      </c>
      <c r="L193" s="866"/>
      <c r="M193" s="893"/>
      <c r="N193" s="893"/>
      <c r="O193" s="865"/>
      <c r="P193" s="286">
        <f>F192/E192*P192</f>
        <v>90300</v>
      </c>
      <c r="Q193" s="507" t="s">
        <v>32</v>
      </c>
      <c r="R193" s="866"/>
      <c r="S193" s="908"/>
      <c r="T193" s="908"/>
      <c r="U193" s="865"/>
      <c r="V193" s="287">
        <f>V192*F192/E192</f>
        <v>49700</v>
      </c>
      <c r="W193" s="507" t="s">
        <v>32</v>
      </c>
      <c r="X193" s="866"/>
      <c r="Y193" s="507"/>
      <c r="Z193" s="507"/>
      <c r="AA193" s="865"/>
      <c r="AB193" s="286"/>
      <c r="AC193" s="507"/>
      <c r="AD193" s="907"/>
      <c r="AE193" s="865"/>
      <c r="AF193" s="865"/>
      <c r="AG193" s="865"/>
      <c r="AH193" s="286">
        <f>F192/E192*AH192</f>
        <v>7000</v>
      </c>
      <c r="AI193" s="507" t="s">
        <v>32</v>
      </c>
      <c r="AJ193" s="907"/>
      <c r="AK193" s="507"/>
      <c r="AL193" s="507"/>
      <c r="AM193" s="507"/>
      <c r="AN193" s="286"/>
      <c r="AO193" s="507"/>
      <c r="AP193" s="509"/>
      <c r="AQ193" s="634"/>
      <c r="AR193" s="606"/>
      <c r="AS193" s="394"/>
      <c r="AT193" s="393"/>
      <c r="AU193" s="395"/>
      <c r="AV193" s="278"/>
      <c r="AW193" s="278"/>
      <c r="AX193" s="278"/>
      <c r="AY193" s="278"/>
      <c r="AZ193" s="278"/>
      <c r="BA193" s="278"/>
      <c r="BB193" s="278"/>
      <c r="BC193" s="278"/>
      <c r="BD193" s="278"/>
    </row>
    <row r="194" spans="1:56">
      <c r="A194" s="869"/>
      <c r="B194" s="870"/>
      <c r="C194" s="891"/>
      <c r="D194" s="892"/>
      <c r="E194" s="873"/>
      <c r="F194" s="874"/>
      <c r="G194" s="511"/>
      <c r="H194" s="511"/>
      <c r="I194" s="511"/>
      <c r="J194" s="534"/>
      <c r="K194" s="507"/>
      <c r="L194" s="508"/>
      <c r="M194" s="893" t="s">
        <v>2694</v>
      </c>
      <c r="N194" s="893" t="s">
        <v>2695</v>
      </c>
      <c r="O194" s="865" t="s">
        <v>117</v>
      </c>
      <c r="P194" s="286">
        <v>0.9</v>
      </c>
      <c r="Q194" s="518" t="s">
        <v>17</v>
      </c>
      <c r="R194" s="866">
        <f>200670/13.8*P194</f>
        <v>13087.173913043478</v>
      </c>
      <c r="S194" s="152"/>
      <c r="T194" s="152"/>
      <c r="U194" s="152"/>
      <c r="V194" s="299"/>
      <c r="W194" s="152"/>
      <c r="X194" s="629"/>
      <c r="Y194" s="507"/>
      <c r="Z194" s="507"/>
      <c r="AA194" s="507"/>
      <c r="AB194" s="286"/>
      <c r="AC194" s="507"/>
      <c r="AD194" s="509"/>
      <c r="AE194" s="507"/>
      <c r="AF194" s="507"/>
      <c r="AG194" s="507"/>
      <c r="AH194" s="286"/>
      <c r="AI194" s="507"/>
      <c r="AJ194" s="509"/>
      <c r="AK194" s="507"/>
      <c r="AL194" s="507"/>
      <c r="AM194" s="507"/>
      <c r="AN194" s="286"/>
      <c r="AO194" s="507"/>
      <c r="AP194" s="509"/>
      <c r="AQ194" s="634"/>
      <c r="AR194" s="606"/>
      <c r="AS194" s="394"/>
      <c r="AT194" s="393"/>
      <c r="AU194" s="395"/>
      <c r="AV194" s="278"/>
      <c r="AW194" s="278"/>
      <c r="AX194" s="278"/>
      <c r="AY194" s="278"/>
      <c r="AZ194" s="278"/>
      <c r="BA194" s="278"/>
      <c r="BB194" s="278"/>
      <c r="BC194" s="278"/>
      <c r="BD194" s="278"/>
    </row>
    <row r="195" spans="1:56">
      <c r="A195" s="869"/>
      <c r="B195" s="870"/>
      <c r="C195" s="891"/>
      <c r="D195" s="892"/>
      <c r="E195" s="873"/>
      <c r="F195" s="874"/>
      <c r="G195" s="511"/>
      <c r="H195" s="511"/>
      <c r="I195" s="511"/>
      <c r="J195" s="534"/>
      <c r="K195" s="507"/>
      <c r="L195" s="508"/>
      <c r="M195" s="893"/>
      <c r="N195" s="893"/>
      <c r="O195" s="865"/>
      <c r="P195" s="286">
        <f>P194*F192/E192</f>
        <v>6300</v>
      </c>
      <c r="Q195" s="507" t="s">
        <v>32</v>
      </c>
      <c r="R195" s="866"/>
      <c r="S195" s="152"/>
      <c r="T195" s="152"/>
      <c r="U195" s="152"/>
      <c r="V195" s="299"/>
      <c r="W195" s="152"/>
      <c r="X195" s="629"/>
      <c r="Y195" s="507"/>
      <c r="Z195" s="507"/>
      <c r="AA195" s="507"/>
      <c r="AB195" s="286"/>
      <c r="AC195" s="507"/>
      <c r="AD195" s="509"/>
      <c r="AE195" s="507"/>
      <c r="AF195" s="507"/>
      <c r="AG195" s="507"/>
      <c r="AH195" s="286"/>
      <c r="AI195" s="507"/>
      <c r="AJ195" s="509"/>
      <c r="AK195" s="507"/>
      <c r="AL195" s="507"/>
      <c r="AM195" s="507"/>
      <c r="AN195" s="286"/>
      <c r="AO195" s="507"/>
      <c r="AP195" s="509"/>
      <c r="AQ195" s="634"/>
      <c r="AR195" s="606"/>
      <c r="AS195" s="394"/>
      <c r="AT195" s="393"/>
      <c r="AU195" s="395"/>
      <c r="AV195" s="278"/>
      <c r="AW195" s="278"/>
      <c r="AX195" s="278"/>
      <c r="AY195" s="278"/>
      <c r="AZ195" s="278"/>
      <c r="BA195" s="278"/>
      <c r="BB195" s="278"/>
      <c r="BC195" s="278"/>
      <c r="BD195" s="278"/>
    </row>
    <row r="196" spans="1:56">
      <c r="A196" s="869">
        <v>54</v>
      </c>
      <c r="B196" s="870">
        <v>805467</v>
      </c>
      <c r="C196" s="891" t="s">
        <v>568</v>
      </c>
      <c r="D196" s="892" t="s">
        <v>569</v>
      </c>
      <c r="E196" s="873">
        <v>12.727</v>
      </c>
      <c r="F196" s="874">
        <v>79925.56</v>
      </c>
      <c r="G196" s="507"/>
      <c r="H196" s="507"/>
      <c r="I196" s="511"/>
      <c r="J196" s="534"/>
      <c r="K196" s="518"/>
      <c r="L196" s="508"/>
      <c r="M196" s="865" t="s">
        <v>570</v>
      </c>
      <c r="N196" s="865" t="s">
        <v>571</v>
      </c>
      <c r="O196" s="893" t="s">
        <v>114</v>
      </c>
      <c r="P196" s="286">
        <v>5</v>
      </c>
      <c r="Q196" s="518" t="s">
        <v>17</v>
      </c>
      <c r="R196" s="866">
        <v>73710</v>
      </c>
      <c r="S196" s="14"/>
      <c r="T196" s="14"/>
      <c r="U196" s="14"/>
      <c r="V196" s="289"/>
      <c r="W196" s="14"/>
      <c r="X196" s="614"/>
      <c r="Y196" s="14"/>
      <c r="Z196" s="14"/>
      <c r="AA196" s="14"/>
      <c r="AB196" s="289"/>
      <c r="AC196" s="14"/>
      <c r="AD196" s="622"/>
      <c r="AE196" s="274"/>
      <c r="AF196" s="507"/>
      <c r="AG196" s="507" t="s">
        <v>482</v>
      </c>
      <c r="AH196" s="286"/>
      <c r="AI196" s="507"/>
      <c r="AJ196" s="509"/>
      <c r="AK196" s="865"/>
      <c r="AL196" s="865"/>
      <c r="AM196" s="865"/>
      <c r="AN196" s="286"/>
      <c r="AO196" s="518"/>
      <c r="AP196" s="907"/>
      <c r="AQ196" s="634"/>
      <c r="AR196" s="606"/>
      <c r="AS196" s="394"/>
      <c r="AT196" s="393"/>
      <c r="AU196" s="395"/>
      <c r="AV196" s="278"/>
      <c r="AW196" s="278"/>
      <c r="AX196" s="278"/>
      <c r="AY196" s="278"/>
      <c r="AZ196" s="278"/>
      <c r="BA196" s="278"/>
      <c r="BB196" s="278"/>
      <c r="BC196" s="278"/>
      <c r="BD196" s="278"/>
    </row>
    <row r="197" spans="1:56">
      <c r="A197" s="869"/>
      <c r="B197" s="870"/>
      <c r="C197" s="891"/>
      <c r="D197" s="892"/>
      <c r="E197" s="873"/>
      <c r="F197" s="874"/>
      <c r="G197" s="507"/>
      <c r="H197" s="507"/>
      <c r="I197" s="511"/>
      <c r="J197" s="534"/>
      <c r="K197" s="518"/>
      <c r="L197" s="508"/>
      <c r="M197" s="865"/>
      <c r="N197" s="865"/>
      <c r="O197" s="916"/>
      <c r="P197" s="287">
        <f>F196/E196*P196</f>
        <v>31400</v>
      </c>
      <c r="Q197" s="507" t="s">
        <v>32</v>
      </c>
      <c r="R197" s="866"/>
      <c r="S197" s="14"/>
      <c r="T197" s="14"/>
      <c r="U197" s="14"/>
      <c r="V197" s="289"/>
      <c r="W197" s="14"/>
      <c r="X197" s="614"/>
      <c r="Y197" s="14"/>
      <c r="Z197" s="14"/>
      <c r="AA197" s="14"/>
      <c r="AB197" s="289"/>
      <c r="AC197" s="14"/>
      <c r="AD197" s="622"/>
      <c r="AE197" s="274"/>
      <c r="AF197" s="507"/>
      <c r="AG197" s="507"/>
      <c r="AH197" s="286"/>
      <c r="AI197" s="507"/>
      <c r="AJ197" s="509"/>
      <c r="AK197" s="865"/>
      <c r="AL197" s="865"/>
      <c r="AM197" s="865"/>
      <c r="AN197" s="286"/>
      <c r="AO197" s="507"/>
      <c r="AP197" s="907"/>
      <c r="AQ197" s="634"/>
      <c r="AR197" s="606"/>
      <c r="AS197" s="394"/>
      <c r="AT197" s="393"/>
      <c r="AU197" s="395"/>
      <c r="AV197" s="278"/>
      <c r="AW197" s="278"/>
      <c r="AX197" s="278"/>
      <c r="AY197" s="278"/>
      <c r="AZ197" s="278"/>
      <c r="BA197" s="278"/>
      <c r="BB197" s="278"/>
      <c r="BC197" s="278"/>
      <c r="BD197" s="278"/>
    </row>
    <row r="198" spans="1:56">
      <c r="A198" s="869"/>
      <c r="B198" s="870"/>
      <c r="C198" s="891"/>
      <c r="D198" s="892"/>
      <c r="E198" s="873"/>
      <c r="F198" s="874"/>
      <c r="G198" s="507"/>
      <c r="H198" s="507"/>
      <c r="I198" s="511"/>
      <c r="J198" s="534"/>
      <c r="K198" s="518"/>
      <c r="L198" s="508"/>
      <c r="M198" s="507"/>
      <c r="N198" s="507"/>
      <c r="O198" s="513"/>
      <c r="P198" s="287"/>
      <c r="Q198" s="507"/>
      <c r="R198" s="508"/>
      <c r="S198" s="14"/>
      <c r="T198" s="14"/>
      <c r="U198" s="14"/>
      <c r="V198" s="289"/>
      <c r="W198" s="14"/>
      <c r="X198" s="614"/>
      <c r="Y198" s="14"/>
      <c r="Z198" s="14"/>
      <c r="AA198" s="14"/>
      <c r="AB198" s="289"/>
      <c r="AC198" s="14"/>
      <c r="AD198" s="622"/>
      <c r="AE198" s="274"/>
      <c r="AF198" s="507"/>
      <c r="AG198" s="507"/>
      <c r="AH198" s="286"/>
      <c r="AI198" s="507"/>
      <c r="AJ198" s="509"/>
      <c r="AK198" s="908"/>
      <c r="AL198" s="908"/>
      <c r="AM198" s="914"/>
      <c r="AN198" s="976"/>
      <c r="AO198" s="977"/>
      <c r="AP198" s="978"/>
      <c r="AQ198" s="634"/>
      <c r="AR198" s="606"/>
      <c r="AS198" s="394"/>
      <c r="AT198" s="393"/>
      <c r="AU198" s="395"/>
      <c r="AV198" s="278"/>
      <c r="AW198" s="278"/>
      <c r="AX198" s="278"/>
      <c r="AY198" s="278"/>
      <c r="AZ198" s="278"/>
      <c r="BA198" s="278"/>
      <c r="BB198" s="278"/>
      <c r="BC198" s="278"/>
      <c r="BD198" s="278"/>
    </row>
    <row r="199" spans="1:56">
      <c r="A199" s="869"/>
      <c r="B199" s="870"/>
      <c r="C199" s="891"/>
      <c r="D199" s="892"/>
      <c r="E199" s="873"/>
      <c r="F199" s="874"/>
      <c r="G199" s="507"/>
      <c r="H199" s="507"/>
      <c r="I199" s="511"/>
      <c r="J199" s="534"/>
      <c r="K199" s="518"/>
      <c r="L199" s="508"/>
      <c r="M199" s="507"/>
      <c r="N199" s="507"/>
      <c r="O199" s="513"/>
      <c r="P199" s="287"/>
      <c r="Q199" s="507"/>
      <c r="R199" s="508"/>
      <c r="S199" s="14"/>
      <c r="T199" s="14"/>
      <c r="U199" s="14"/>
      <c r="V199" s="289"/>
      <c r="W199" s="14"/>
      <c r="X199" s="614"/>
      <c r="Y199" s="14"/>
      <c r="Z199" s="14"/>
      <c r="AA199" s="14"/>
      <c r="AB199" s="289"/>
      <c r="AC199" s="14"/>
      <c r="AD199" s="622"/>
      <c r="AE199" s="274"/>
      <c r="AF199" s="507"/>
      <c r="AG199" s="507"/>
      <c r="AH199" s="286"/>
      <c r="AI199" s="507"/>
      <c r="AJ199" s="509"/>
      <c r="AK199" s="908"/>
      <c r="AL199" s="908"/>
      <c r="AM199" s="914"/>
      <c r="AN199" s="976"/>
      <c r="AO199" s="977"/>
      <c r="AP199" s="978"/>
      <c r="AQ199" s="634"/>
      <c r="AR199" s="606"/>
      <c r="AS199" s="394"/>
      <c r="AT199" s="393"/>
      <c r="AU199" s="395"/>
      <c r="AV199" s="278"/>
      <c r="AW199" s="278"/>
      <c r="AX199" s="278"/>
      <c r="AY199" s="278"/>
      <c r="AZ199" s="278"/>
      <c r="BA199" s="278"/>
      <c r="BB199" s="278"/>
      <c r="BC199" s="278"/>
      <c r="BD199" s="278"/>
    </row>
    <row r="200" spans="1:56">
      <c r="A200" s="869">
        <v>55</v>
      </c>
      <c r="B200" s="870">
        <v>805467</v>
      </c>
      <c r="C200" s="891" t="s">
        <v>572</v>
      </c>
      <c r="D200" s="892" t="s">
        <v>569</v>
      </c>
      <c r="E200" s="873">
        <v>26.434000000000001</v>
      </c>
      <c r="F200" s="874">
        <v>166005.52000000002</v>
      </c>
      <c r="G200" s="865" t="s">
        <v>573</v>
      </c>
      <c r="H200" s="865" t="s">
        <v>554</v>
      </c>
      <c r="I200" s="893" t="s">
        <v>31</v>
      </c>
      <c r="J200" s="274">
        <v>5.0069999999999997</v>
      </c>
      <c r="K200" s="518" t="s">
        <v>17</v>
      </c>
      <c r="L200" s="866">
        <v>83949.857199999999</v>
      </c>
      <c r="M200" s="514"/>
      <c r="N200" s="14"/>
      <c r="O200" s="14"/>
      <c r="P200" s="289"/>
      <c r="Q200" s="14"/>
      <c r="R200" s="614"/>
      <c r="S200" s="507"/>
      <c r="T200" s="507"/>
      <c r="U200" s="507" t="s">
        <v>482</v>
      </c>
      <c r="V200" s="287"/>
      <c r="W200" s="274"/>
      <c r="X200" s="508"/>
      <c r="Y200" s="507"/>
      <c r="Z200" s="507"/>
      <c r="AA200" s="507"/>
      <c r="AB200" s="286"/>
      <c r="AC200" s="274"/>
      <c r="AD200" s="509"/>
      <c r="AE200" s="507"/>
      <c r="AF200" s="507"/>
      <c r="AG200" s="507" t="s">
        <v>482</v>
      </c>
      <c r="AH200" s="286"/>
      <c r="AI200" s="507"/>
      <c r="AJ200" s="509"/>
      <c r="AK200" s="507"/>
      <c r="AL200" s="507"/>
      <c r="AM200" s="507" t="s">
        <v>482</v>
      </c>
      <c r="AN200" s="286"/>
      <c r="AO200" s="507"/>
      <c r="AP200" s="509"/>
      <c r="AQ200" s="634"/>
      <c r="AR200" s="606"/>
      <c r="AS200" s="394"/>
      <c r="AT200" s="393"/>
      <c r="AU200" s="395"/>
      <c r="AV200" s="278"/>
      <c r="AW200" s="278"/>
      <c r="AX200" s="278"/>
      <c r="AY200" s="278"/>
      <c r="AZ200" s="278"/>
      <c r="BA200" s="278"/>
      <c r="BB200" s="278"/>
      <c r="BC200" s="278"/>
      <c r="BD200" s="278"/>
    </row>
    <row r="201" spans="1:56">
      <c r="A201" s="869"/>
      <c r="B201" s="870"/>
      <c r="C201" s="891"/>
      <c r="D201" s="892"/>
      <c r="E201" s="873"/>
      <c r="F201" s="874"/>
      <c r="G201" s="865"/>
      <c r="H201" s="865"/>
      <c r="I201" s="894"/>
      <c r="J201" s="534">
        <v>37408</v>
      </c>
      <c r="K201" s="507" t="s">
        <v>32</v>
      </c>
      <c r="L201" s="866"/>
      <c r="M201" s="514"/>
      <c r="N201" s="14"/>
      <c r="O201" s="14"/>
      <c r="P201" s="289"/>
      <c r="Q201" s="14"/>
      <c r="R201" s="614"/>
      <c r="S201" s="507"/>
      <c r="T201" s="507"/>
      <c r="U201" s="507"/>
      <c r="V201" s="287"/>
      <c r="W201" s="274"/>
      <c r="X201" s="508"/>
      <c r="Y201" s="507"/>
      <c r="Z201" s="507"/>
      <c r="AA201" s="507"/>
      <c r="AB201" s="286"/>
      <c r="AC201" s="274"/>
      <c r="AD201" s="509"/>
      <c r="AE201" s="507"/>
      <c r="AF201" s="507"/>
      <c r="AG201" s="507"/>
      <c r="AH201" s="286"/>
      <c r="AI201" s="507"/>
      <c r="AJ201" s="509"/>
      <c r="AK201" s="507"/>
      <c r="AL201" s="507"/>
      <c r="AM201" s="507"/>
      <c r="AN201" s="286"/>
      <c r="AO201" s="507"/>
      <c r="AP201" s="509"/>
      <c r="AQ201" s="634"/>
      <c r="AR201" s="606"/>
      <c r="AS201" s="394"/>
      <c r="AT201" s="393"/>
      <c r="AU201" s="395"/>
      <c r="AV201" s="278"/>
      <c r="AW201" s="278"/>
      <c r="AX201" s="278"/>
      <c r="AY201" s="278"/>
      <c r="AZ201" s="278"/>
      <c r="BA201" s="278"/>
      <c r="BB201" s="278"/>
      <c r="BC201" s="278"/>
      <c r="BD201" s="278"/>
    </row>
    <row r="202" spans="1:56" ht="39">
      <c r="A202" s="869"/>
      <c r="B202" s="870"/>
      <c r="C202" s="891"/>
      <c r="D202" s="892"/>
      <c r="E202" s="873"/>
      <c r="F202" s="874"/>
      <c r="G202" s="865"/>
      <c r="H202" s="865"/>
      <c r="I202" s="512" t="s">
        <v>2682</v>
      </c>
      <c r="J202" s="534">
        <v>1</v>
      </c>
      <c r="K202" s="507" t="s">
        <v>118</v>
      </c>
      <c r="L202" s="336">
        <v>60.079000000000001</v>
      </c>
      <c r="M202" s="514"/>
      <c r="N202" s="14"/>
      <c r="O202" s="14"/>
      <c r="P202" s="289"/>
      <c r="Q202" s="14"/>
      <c r="R202" s="614"/>
      <c r="S202" s="507"/>
      <c r="T202" s="507"/>
      <c r="U202" s="507"/>
      <c r="V202" s="287"/>
      <c r="W202" s="274"/>
      <c r="X202" s="508"/>
      <c r="Y202" s="507"/>
      <c r="Z202" s="507"/>
      <c r="AA202" s="507"/>
      <c r="AB202" s="286"/>
      <c r="AC202" s="274"/>
      <c r="AD202" s="509"/>
      <c r="AE202" s="507"/>
      <c r="AF202" s="507"/>
      <c r="AG202" s="507"/>
      <c r="AH202" s="286"/>
      <c r="AI202" s="507"/>
      <c r="AJ202" s="509"/>
      <c r="AK202" s="507"/>
      <c r="AL202" s="507"/>
      <c r="AM202" s="507"/>
      <c r="AN202" s="286"/>
      <c r="AO202" s="507"/>
      <c r="AP202" s="509"/>
      <c r="AQ202" s="634"/>
      <c r="AR202" s="606"/>
      <c r="AS202" s="394"/>
      <c r="AT202" s="393"/>
      <c r="AU202" s="395"/>
      <c r="AV202" s="278"/>
      <c r="AW202" s="278"/>
      <c r="AX202" s="278"/>
      <c r="AY202" s="278"/>
      <c r="AZ202" s="278"/>
      <c r="BA202" s="278"/>
      <c r="BB202" s="278"/>
      <c r="BC202" s="278"/>
      <c r="BD202" s="278"/>
    </row>
    <row r="203" spans="1:56">
      <c r="A203" s="869"/>
      <c r="B203" s="870"/>
      <c r="C203" s="891"/>
      <c r="D203" s="892"/>
      <c r="E203" s="873"/>
      <c r="F203" s="874"/>
      <c r="G203" s="865" t="s">
        <v>554</v>
      </c>
      <c r="H203" s="865" t="s">
        <v>574</v>
      </c>
      <c r="I203" s="893" t="s">
        <v>114</v>
      </c>
      <c r="J203" s="274">
        <v>5.0940000000000003</v>
      </c>
      <c r="K203" s="518" t="s">
        <v>17</v>
      </c>
      <c r="L203" s="866">
        <f>43723.7770299999+0.0000000001</f>
        <v>43723.777030000005</v>
      </c>
      <c r="M203" s="865" t="s">
        <v>575</v>
      </c>
      <c r="N203" s="865" t="s">
        <v>573</v>
      </c>
      <c r="O203" s="893" t="s">
        <v>114</v>
      </c>
      <c r="P203" s="286">
        <v>5</v>
      </c>
      <c r="Q203" s="518" t="s">
        <v>17</v>
      </c>
      <c r="R203" s="866">
        <v>71900</v>
      </c>
      <c r="S203" s="507"/>
      <c r="T203" s="507"/>
      <c r="U203" s="507"/>
      <c r="V203" s="287"/>
      <c r="W203" s="274"/>
      <c r="X203" s="508"/>
      <c r="Y203" s="507"/>
      <c r="Z203" s="507"/>
      <c r="AA203" s="507"/>
      <c r="AB203" s="286"/>
      <c r="AC203" s="274"/>
      <c r="AD203" s="509"/>
      <c r="AE203" s="507"/>
      <c r="AF203" s="507"/>
      <c r="AG203" s="507"/>
      <c r="AH203" s="286"/>
      <c r="AI203" s="507"/>
      <c r="AJ203" s="509"/>
      <c r="AK203" s="507"/>
      <c r="AL203" s="507"/>
      <c r="AM203" s="507"/>
      <c r="AN203" s="286"/>
      <c r="AO203" s="507"/>
      <c r="AP203" s="509"/>
      <c r="AQ203" s="634"/>
      <c r="AR203" s="606"/>
      <c r="AS203" s="394"/>
      <c r="AT203" s="393"/>
      <c r="AU203" s="395"/>
      <c r="AV203" s="278"/>
      <c r="AW203" s="278"/>
      <c r="AX203" s="278"/>
      <c r="AY203" s="278"/>
      <c r="AZ203" s="278"/>
      <c r="BA203" s="278"/>
      <c r="BB203" s="278"/>
      <c r="BC203" s="278"/>
      <c r="BD203" s="278"/>
    </row>
    <row r="204" spans="1:56">
      <c r="A204" s="869"/>
      <c r="B204" s="870"/>
      <c r="C204" s="891"/>
      <c r="D204" s="892"/>
      <c r="E204" s="873"/>
      <c r="F204" s="874"/>
      <c r="G204" s="865"/>
      <c r="H204" s="865"/>
      <c r="I204" s="916"/>
      <c r="J204" s="534">
        <v>35785</v>
      </c>
      <c r="K204" s="507" t="s">
        <v>32</v>
      </c>
      <c r="L204" s="866"/>
      <c r="M204" s="865"/>
      <c r="N204" s="865"/>
      <c r="O204" s="916"/>
      <c r="P204" s="287">
        <f>F200/E200*P203</f>
        <v>31400.000000000004</v>
      </c>
      <c r="Q204" s="507" t="s">
        <v>32</v>
      </c>
      <c r="R204" s="866"/>
      <c r="S204" s="507"/>
      <c r="T204" s="507"/>
      <c r="U204" s="507"/>
      <c r="V204" s="287"/>
      <c r="W204" s="274"/>
      <c r="X204" s="508"/>
      <c r="Y204" s="507"/>
      <c r="Z204" s="507"/>
      <c r="AA204" s="507"/>
      <c r="AB204" s="286"/>
      <c r="AC204" s="274"/>
      <c r="AD204" s="509"/>
      <c r="AE204" s="507"/>
      <c r="AF204" s="507"/>
      <c r="AG204" s="507"/>
      <c r="AH204" s="286"/>
      <c r="AI204" s="507"/>
      <c r="AJ204" s="509"/>
      <c r="AK204" s="507"/>
      <c r="AL204" s="507"/>
      <c r="AM204" s="507"/>
      <c r="AN204" s="286"/>
      <c r="AO204" s="507"/>
      <c r="AP204" s="509"/>
      <c r="AQ204" s="634"/>
      <c r="AR204" s="606"/>
      <c r="AS204" s="394"/>
      <c r="AT204" s="393"/>
      <c r="AU204" s="395"/>
      <c r="AV204" s="278"/>
      <c r="AW204" s="278"/>
      <c r="AX204" s="278"/>
      <c r="AY204" s="278"/>
      <c r="AZ204" s="278"/>
      <c r="BA204" s="278"/>
      <c r="BB204" s="278"/>
      <c r="BC204" s="278"/>
      <c r="BD204" s="278"/>
    </row>
    <row r="205" spans="1:56">
      <c r="A205" s="869">
        <v>56</v>
      </c>
      <c r="B205" s="870" t="s">
        <v>576</v>
      </c>
      <c r="C205" s="891" t="s">
        <v>577</v>
      </c>
      <c r="D205" s="892" t="s">
        <v>578</v>
      </c>
      <c r="E205" s="873">
        <v>24.263000000000002</v>
      </c>
      <c r="F205" s="874">
        <v>145578</v>
      </c>
      <c r="G205" s="515"/>
      <c r="H205" s="515"/>
      <c r="I205" s="516"/>
      <c r="J205" s="136"/>
      <c r="K205" s="518"/>
      <c r="L205" s="336"/>
      <c r="M205" s="865"/>
      <c r="N205" s="865"/>
      <c r="O205" s="865"/>
      <c r="P205" s="286"/>
      <c r="Q205" s="518"/>
      <c r="R205" s="866"/>
      <c r="S205" s="865" t="s">
        <v>579</v>
      </c>
      <c r="T205" s="865" t="s">
        <v>580</v>
      </c>
      <c r="U205" s="865" t="s">
        <v>31</v>
      </c>
      <c r="V205" s="286">
        <v>5</v>
      </c>
      <c r="W205" s="518" t="s">
        <v>17</v>
      </c>
      <c r="X205" s="866">
        <f>75561/3*V205</f>
        <v>125935</v>
      </c>
      <c r="Y205" s="865" t="s">
        <v>580</v>
      </c>
      <c r="Z205" s="865" t="s">
        <v>2980</v>
      </c>
      <c r="AA205" s="865" t="s">
        <v>31</v>
      </c>
      <c r="AB205" s="286">
        <v>9.8000000000000007</v>
      </c>
      <c r="AC205" s="518" t="s">
        <v>17</v>
      </c>
      <c r="AD205" s="907">
        <v>406200</v>
      </c>
      <c r="AE205" s="507"/>
      <c r="AF205" s="507"/>
      <c r="AG205" s="507" t="s">
        <v>482</v>
      </c>
      <c r="AH205" s="286"/>
      <c r="AI205" s="507"/>
      <c r="AJ205" s="509"/>
      <c r="AK205" s="507"/>
      <c r="AL205" s="507"/>
      <c r="AM205" s="507" t="s">
        <v>482</v>
      </c>
      <c r="AN205" s="286"/>
      <c r="AO205" s="507"/>
      <c r="AP205" s="509"/>
      <c r="AQ205" s="634"/>
      <c r="AR205" s="606"/>
      <c r="AS205" s="394"/>
      <c r="AT205" s="393"/>
      <c r="AU205" s="395"/>
      <c r="AV205" s="278"/>
      <c r="AW205" s="278"/>
      <c r="AX205" s="278"/>
      <c r="AY205" s="278"/>
      <c r="AZ205" s="278"/>
      <c r="BA205" s="278"/>
      <c r="BB205" s="278"/>
      <c r="BC205" s="278"/>
      <c r="BD205" s="278"/>
    </row>
    <row r="206" spans="1:56">
      <c r="A206" s="869"/>
      <c r="B206" s="870"/>
      <c r="C206" s="891"/>
      <c r="D206" s="892"/>
      <c r="E206" s="873"/>
      <c r="F206" s="874"/>
      <c r="G206" s="515"/>
      <c r="H206" s="515"/>
      <c r="I206" s="516"/>
      <c r="J206" s="136"/>
      <c r="K206" s="518"/>
      <c r="L206" s="336"/>
      <c r="M206" s="865"/>
      <c r="N206" s="865"/>
      <c r="O206" s="865"/>
      <c r="P206" s="287"/>
      <c r="Q206" s="507"/>
      <c r="R206" s="866"/>
      <c r="S206" s="865"/>
      <c r="T206" s="865"/>
      <c r="U206" s="865"/>
      <c r="V206" s="287">
        <f>F205/E205*V205</f>
        <v>30000</v>
      </c>
      <c r="W206" s="507" t="s">
        <v>32</v>
      </c>
      <c r="X206" s="866"/>
      <c r="Y206" s="865"/>
      <c r="Z206" s="865"/>
      <c r="AA206" s="865"/>
      <c r="AB206" s="287">
        <f>F205/E205*AB205</f>
        <v>58800.000000000007</v>
      </c>
      <c r="AC206" s="507" t="s">
        <v>32</v>
      </c>
      <c r="AD206" s="907"/>
      <c r="AE206" s="507"/>
      <c r="AF206" s="507"/>
      <c r="AG206" s="507"/>
      <c r="AH206" s="286"/>
      <c r="AI206" s="507"/>
      <c r="AJ206" s="509"/>
      <c r="AK206" s="507"/>
      <c r="AL206" s="507"/>
      <c r="AM206" s="507"/>
      <c r="AN206" s="286"/>
      <c r="AO206" s="507"/>
      <c r="AP206" s="509"/>
      <c r="AQ206" s="634"/>
      <c r="AR206" s="606"/>
      <c r="AS206" s="394"/>
      <c r="AT206" s="393"/>
      <c r="AU206" s="395"/>
      <c r="AV206" s="278"/>
      <c r="AW206" s="278"/>
      <c r="AX206" s="278"/>
      <c r="AY206" s="278"/>
      <c r="AZ206" s="278"/>
      <c r="BA206" s="278"/>
      <c r="BB206" s="278"/>
      <c r="BC206" s="278"/>
      <c r="BD206" s="278"/>
    </row>
    <row r="207" spans="1:56" ht="51" customHeight="1">
      <c r="A207" s="869">
        <v>57</v>
      </c>
      <c r="B207" s="870" t="s">
        <v>581</v>
      </c>
      <c r="C207" s="891" t="s">
        <v>582</v>
      </c>
      <c r="D207" s="892" t="s">
        <v>583</v>
      </c>
      <c r="E207" s="873">
        <v>38.832999999999998</v>
      </c>
      <c r="F207" s="874">
        <v>252414.5</v>
      </c>
      <c r="G207" s="507"/>
      <c r="H207" s="507"/>
      <c r="I207" s="511"/>
      <c r="J207" s="534"/>
      <c r="K207" s="518"/>
      <c r="L207" s="508"/>
      <c r="M207" s="507"/>
      <c r="N207" s="507"/>
      <c r="O207" s="515"/>
      <c r="P207" s="287"/>
      <c r="Q207" s="513"/>
      <c r="R207" s="336"/>
      <c r="S207" s="865" t="s">
        <v>584</v>
      </c>
      <c r="T207" s="865" t="s">
        <v>585</v>
      </c>
      <c r="U207" s="865" t="s">
        <v>31</v>
      </c>
      <c r="V207" s="286">
        <v>3</v>
      </c>
      <c r="W207" s="518" t="s">
        <v>17</v>
      </c>
      <c r="X207" s="866">
        <v>75000</v>
      </c>
      <c r="Y207" s="865" t="s">
        <v>585</v>
      </c>
      <c r="Z207" s="865" t="s">
        <v>2981</v>
      </c>
      <c r="AA207" s="865" t="s">
        <v>31</v>
      </c>
      <c r="AB207" s="286">
        <v>8.4</v>
      </c>
      <c r="AC207" s="518" t="s">
        <v>17</v>
      </c>
      <c r="AD207" s="907">
        <v>353750</v>
      </c>
      <c r="AE207" s="507"/>
      <c r="AF207" s="507"/>
      <c r="AG207" s="507"/>
      <c r="AH207" s="286"/>
      <c r="AI207" s="507"/>
      <c r="AJ207" s="509"/>
      <c r="AK207" s="908"/>
      <c r="AL207" s="908"/>
      <c r="AM207" s="914"/>
      <c r="AN207" s="976"/>
      <c r="AO207" s="908"/>
      <c r="AP207" s="978"/>
      <c r="AQ207" s="634"/>
      <c r="AR207" s="606"/>
      <c r="AS207" s="394"/>
      <c r="AT207" s="393"/>
      <c r="AU207" s="395"/>
      <c r="AV207" s="278"/>
      <c r="AW207" s="278"/>
      <c r="AX207" s="278"/>
      <c r="AY207" s="278"/>
      <c r="AZ207" s="278"/>
      <c r="BA207" s="278"/>
      <c r="BB207" s="278"/>
      <c r="BC207" s="278"/>
      <c r="BD207" s="278"/>
    </row>
    <row r="208" spans="1:56" ht="51" customHeight="1">
      <c r="A208" s="869"/>
      <c r="B208" s="870"/>
      <c r="C208" s="891"/>
      <c r="D208" s="892"/>
      <c r="E208" s="873"/>
      <c r="F208" s="874"/>
      <c r="G208" s="507"/>
      <c r="H208" s="507"/>
      <c r="I208" s="511"/>
      <c r="J208" s="534"/>
      <c r="K208" s="518"/>
      <c r="L208" s="508"/>
      <c r="M208" s="507"/>
      <c r="N208" s="507"/>
      <c r="O208" s="515"/>
      <c r="P208" s="287"/>
      <c r="Q208" s="513"/>
      <c r="R208" s="336"/>
      <c r="S208" s="865"/>
      <c r="T208" s="865"/>
      <c r="U208" s="865"/>
      <c r="V208" s="287">
        <f>F207/E207*V207</f>
        <v>19500</v>
      </c>
      <c r="W208" s="507" t="s">
        <v>32</v>
      </c>
      <c r="X208" s="866"/>
      <c r="Y208" s="865"/>
      <c r="Z208" s="865"/>
      <c r="AA208" s="865"/>
      <c r="AB208" s="287">
        <f>F207/E207*AB207</f>
        <v>54600</v>
      </c>
      <c r="AC208" s="507" t="s">
        <v>32</v>
      </c>
      <c r="AD208" s="907"/>
      <c r="AE208" s="507"/>
      <c r="AF208" s="507"/>
      <c r="AG208" s="507"/>
      <c r="AH208" s="286"/>
      <c r="AI208" s="507"/>
      <c r="AJ208" s="509"/>
      <c r="AK208" s="908"/>
      <c r="AL208" s="908"/>
      <c r="AM208" s="914"/>
      <c r="AN208" s="976"/>
      <c r="AO208" s="908"/>
      <c r="AP208" s="978"/>
      <c r="AQ208" s="634"/>
      <c r="AR208" s="606"/>
      <c r="AS208" s="394"/>
      <c r="AT208" s="393"/>
      <c r="AU208" s="395"/>
      <c r="AV208" s="278"/>
      <c r="AW208" s="278"/>
      <c r="AX208" s="278"/>
      <c r="AY208" s="278"/>
      <c r="AZ208" s="278"/>
      <c r="BA208" s="278"/>
      <c r="BB208" s="278"/>
      <c r="BC208" s="278"/>
      <c r="BD208" s="278"/>
    </row>
    <row r="209" spans="1:56" ht="18" customHeight="1">
      <c r="A209" s="869">
        <v>58</v>
      </c>
      <c r="B209" s="870" t="s">
        <v>586</v>
      </c>
      <c r="C209" s="891" t="s">
        <v>587</v>
      </c>
      <c r="D209" s="892" t="s">
        <v>588</v>
      </c>
      <c r="E209" s="873">
        <v>40.795999999999999</v>
      </c>
      <c r="F209" s="874">
        <v>244776</v>
      </c>
      <c r="G209" s="507"/>
      <c r="H209" s="507"/>
      <c r="I209" s="511"/>
      <c r="J209" s="534"/>
      <c r="K209" s="518"/>
      <c r="L209" s="508"/>
      <c r="M209" s="507"/>
      <c r="N209" s="507"/>
      <c r="O209" s="507" t="s">
        <v>482</v>
      </c>
      <c r="P209" s="287"/>
      <c r="Q209" s="513"/>
      <c r="R209" s="508"/>
      <c r="S209" s="507"/>
      <c r="T209" s="507"/>
      <c r="U209" s="865"/>
      <c r="V209" s="286"/>
      <c r="W209" s="518"/>
      <c r="X209" s="866"/>
      <c r="Y209" s="507"/>
      <c r="Z209" s="507"/>
      <c r="AA209" s="507"/>
      <c r="AB209" s="286"/>
      <c r="AC209" s="274"/>
      <c r="AD209" s="509"/>
      <c r="AE209" s="507"/>
      <c r="AF209" s="507"/>
      <c r="AG209" s="907" t="s">
        <v>31</v>
      </c>
      <c r="AH209" s="286">
        <v>1</v>
      </c>
      <c r="AI209" s="518" t="s">
        <v>17</v>
      </c>
      <c r="AJ209" s="907">
        <v>60000</v>
      </c>
      <c r="AK209" s="908"/>
      <c r="AL209" s="908"/>
      <c r="AM209" s="914"/>
      <c r="AN209" s="976"/>
      <c r="AO209" s="908"/>
      <c r="AP209" s="978"/>
      <c r="AQ209" s="634"/>
      <c r="AR209" s="606"/>
      <c r="AS209" s="394"/>
      <c r="AT209" s="393"/>
      <c r="AU209" s="395"/>
      <c r="AV209" s="278"/>
      <c r="AW209" s="278"/>
      <c r="AX209" s="278"/>
      <c r="AY209" s="278"/>
      <c r="AZ209" s="278"/>
      <c r="BA209" s="278"/>
      <c r="BB209" s="278"/>
      <c r="BC209" s="278"/>
      <c r="BD209" s="278"/>
    </row>
    <row r="210" spans="1:56" ht="18" customHeight="1">
      <c r="A210" s="869"/>
      <c r="B210" s="870"/>
      <c r="C210" s="891"/>
      <c r="D210" s="892"/>
      <c r="E210" s="873"/>
      <c r="F210" s="874"/>
      <c r="G210" s="507"/>
      <c r="H210" s="507"/>
      <c r="I210" s="511"/>
      <c r="J210" s="534"/>
      <c r="K210" s="518"/>
      <c r="L210" s="508"/>
      <c r="M210" s="507"/>
      <c r="N210" s="507"/>
      <c r="O210" s="507"/>
      <c r="P210" s="287"/>
      <c r="Q210" s="513"/>
      <c r="R210" s="508"/>
      <c r="S210" s="507"/>
      <c r="T210" s="507"/>
      <c r="U210" s="865"/>
      <c r="V210" s="287"/>
      <c r="W210" s="507"/>
      <c r="X210" s="866"/>
      <c r="Y210" s="507"/>
      <c r="Z210" s="507"/>
      <c r="AA210" s="507"/>
      <c r="AB210" s="286"/>
      <c r="AC210" s="274"/>
      <c r="AD210" s="509"/>
      <c r="AE210" s="507"/>
      <c r="AF210" s="507"/>
      <c r="AG210" s="907"/>
      <c r="AH210" s="286">
        <f>F209/E209*AH209</f>
        <v>6000</v>
      </c>
      <c r="AI210" s="507" t="s">
        <v>32</v>
      </c>
      <c r="AJ210" s="907"/>
      <c r="AK210" s="908"/>
      <c r="AL210" s="908"/>
      <c r="AM210" s="914"/>
      <c r="AN210" s="976"/>
      <c r="AO210" s="908"/>
      <c r="AP210" s="978"/>
      <c r="AQ210" s="634"/>
      <c r="AR210" s="606"/>
      <c r="AS210" s="394"/>
      <c r="AT210" s="393"/>
      <c r="AU210" s="395"/>
      <c r="AV210" s="278"/>
      <c r="AW210" s="278"/>
      <c r="AX210" s="278"/>
      <c r="AY210" s="278"/>
      <c r="AZ210" s="278"/>
      <c r="BA210" s="278"/>
      <c r="BB210" s="278"/>
      <c r="BC210" s="278"/>
      <c r="BD210" s="278"/>
    </row>
    <row r="211" spans="1:56" ht="39" customHeight="1">
      <c r="A211" s="869">
        <v>59</v>
      </c>
      <c r="B211" s="870" t="s">
        <v>589</v>
      </c>
      <c r="C211" s="891" t="s">
        <v>590</v>
      </c>
      <c r="D211" s="892" t="s">
        <v>591</v>
      </c>
      <c r="E211" s="873">
        <v>5.2949999999999999</v>
      </c>
      <c r="F211" s="874">
        <v>38653.5</v>
      </c>
      <c r="G211" s="518"/>
      <c r="H211" s="518"/>
      <c r="I211" s="512"/>
      <c r="J211" s="136"/>
      <c r="K211" s="518"/>
      <c r="L211" s="625"/>
      <c r="M211" s="865"/>
      <c r="N211" s="865"/>
      <c r="O211" s="865"/>
      <c r="P211" s="286"/>
      <c r="Q211" s="518"/>
      <c r="R211" s="866"/>
      <c r="S211" s="507"/>
      <c r="T211" s="507"/>
      <c r="U211" s="507" t="s">
        <v>482</v>
      </c>
      <c r="V211" s="287"/>
      <c r="W211" s="274"/>
      <c r="X211" s="508"/>
      <c r="Y211" s="507"/>
      <c r="Z211" s="507"/>
      <c r="AA211" s="507" t="s">
        <v>482</v>
      </c>
      <c r="AB211" s="286"/>
      <c r="AC211" s="274"/>
      <c r="AD211" s="509"/>
      <c r="AE211" s="507"/>
      <c r="AF211" s="507"/>
      <c r="AG211" s="907" t="s">
        <v>31</v>
      </c>
      <c r="AH211" s="286">
        <v>1.7</v>
      </c>
      <c r="AI211" s="518" t="s">
        <v>17</v>
      </c>
      <c r="AJ211" s="907">
        <v>102000</v>
      </c>
      <c r="AK211" s="865"/>
      <c r="AL211" s="865"/>
      <c r="AM211" s="865"/>
      <c r="AN211" s="286"/>
      <c r="AO211" s="518"/>
      <c r="AP211" s="907"/>
      <c r="AQ211" s="634"/>
      <c r="AR211" s="606"/>
      <c r="AS211" s="394"/>
      <c r="AT211" s="393"/>
      <c r="AU211" s="395"/>
      <c r="AV211" s="278"/>
      <c r="AW211" s="278"/>
      <c r="AX211" s="278"/>
      <c r="AY211" s="278"/>
      <c r="AZ211" s="278"/>
      <c r="BA211" s="278"/>
      <c r="BB211" s="278"/>
      <c r="BC211" s="278"/>
      <c r="BD211" s="278"/>
    </row>
    <row r="212" spans="1:56" ht="39" customHeight="1">
      <c r="A212" s="869"/>
      <c r="B212" s="870"/>
      <c r="C212" s="891"/>
      <c r="D212" s="892"/>
      <c r="E212" s="873"/>
      <c r="F212" s="874"/>
      <c r="G212" s="518"/>
      <c r="H212" s="518"/>
      <c r="I212" s="512"/>
      <c r="J212" s="136"/>
      <c r="K212" s="518"/>
      <c r="L212" s="625"/>
      <c r="M212" s="865"/>
      <c r="N212" s="865"/>
      <c r="O212" s="975"/>
      <c r="P212" s="287"/>
      <c r="Q212" s="507"/>
      <c r="R212" s="866"/>
      <c r="S212" s="507"/>
      <c r="T212" s="507"/>
      <c r="U212" s="507"/>
      <c r="V212" s="287"/>
      <c r="W212" s="274"/>
      <c r="X212" s="508"/>
      <c r="Y212" s="507"/>
      <c r="Z212" s="507"/>
      <c r="AA212" s="507"/>
      <c r="AB212" s="286"/>
      <c r="AC212" s="274"/>
      <c r="AD212" s="509"/>
      <c r="AE212" s="507"/>
      <c r="AF212" s="507"/>
      <c r="AG212" s="907"/>
      <c r="AH212" s="286">
        <f>F211/E211*AH211</f>
        <v>12410</v>
      </c>
      <c r="AI212" s="507" t="s">
        <v>32</v>
      </c>
      <c r="AJ212" s="907"/>
      <c r="AK212" s="865"/>
      <c r="AL212" s="865"/>
      <c r="AM212" s="975"/>
      <c r="AN212" s="287"/>
      <c r="AO212" s="507"/>
      <c r="AP212" s="907"/>
      <c r="AQ212" s="634"/>
      <c r="AR212" s="606"/>
      <c r="AS212" s="394"/>
      <c r="AT212" s="393"/>
      <c r="AU212" s="395"/>
      <c r="AV212" s="278"/>
      <c r="AW212" s="278"/>
      <c r="AX212" s="278"/>
      <c r="AY212" s="278"/>
      <c r="AZ212" s="278"/>
      <c r="BA212" s="278"/>
      <c r="BB212" s="278"/>
      <c r="BC212" s="278"/>
      <c r="BD212" s="278"/>
    </row>
    <row r="213" spans="1:56" ht="51" customHeight="1">
      <c r="A213" s="869">
        <v>60</v>
      </c>
      <c r="B213" s="870" t="s">
        <v>592</v>
      </c>
      <c r="C213" s="891" t="s">
        <v>593</v>
      </c>
      <c r="D213" s="892" t="s">
        <v>594</v>
      </c>
      <c r="E213" s="873">
        <v>19.600999999999999</v>
      </c>
      <c r="F213" s="874">
        <v>137207</v>
      </c>
      <c r="G213" s="893" t="s">
        <v>2555</v>
      </c>
      <c r="H213" s="865" t="s">
        <v>489</v>
      </c>
      <c r="I213" s="893" t="s">
        <v>31</v>
      </c>
      <c r="J213" s="274">
        <v>4.7063600000000001</v>
      </c>
      <c r="K213" s="518" t="s">
        <v>17</v>
      </c>
      <c r="L213" s="866">
        <v>35633.67</v>
      </c>
      <c r="M213" s="865" t="s">
        <v>60</v>
      </c>
      <c r="N213" s="865" t="s">
        <v>2691</v>
      </c>
      <c r="O213" s="893" t="s">
        <v>114</v>
      </c>
      <c r="P213" s="286">
        <v>10</v>
      </c>
      <c r="Q213" s="518" t="s">
        <v>17</v>
      </c>
      <c r="R213" s="866">
        <v>67200</v>
      </c>
      <c r="S213" s="507"/>
      <c r="T213" s="507"/>
      <c r="U213" s="507" t="s">
        <v>482</v>
      </c>
      <c r="V213" s="287"/>
      <c r="W213" s="274"/>
      <c r="X213" s="508"/>
      <c r="Y213" s="507"/>
      <c r="Z213" s="507"/>
      <c r="AA213" s="507" t="s">
        <v>482</v>
      </c>
      <c r="AB213" s="286"/>
      <c r="AC213" s="274"/>
      <c r="AD213" s="509"/>
      <c r="AE213" s="507"/>
      <c r="AF213" s="507"/>
      <c r="AG213" s="507" t="s">
        <v>482</v>
      </c>
      <c r="AH213" s="286"/>
      <c r="AI213" s="507"/>
      <c r="AJ213" s="509"/>
      <c r="AK213" s="507"/>
      <c r="AL213" s="507"/>
      <c r="AM213" s="507" t="s">
        <v>482</v>
      </c>
      <c r="AN213" s="286"/>
      <c r="AO213" s="507"/>
      <c r="AP213" s="509"/>
      <c r="AQ213" s="634"/>
      <c r="AR213" s="606"/>
      <c r="AS213" s="394"/>
      <c r="AT213" s="393"/>
      <c r="AU213" s="395"/>
      <c r="AV213" s="278"/>
      <c r="AW213" s="278"/>
      <c r="AX213" s="278"/>
      <c r="AY213" s="278"/>
      <c r="AZ213" s="278"/>
      <c r="BA213" s="278"/>
      <c r="BB213" s="278"/>
      <c r="BC213" s="278"/>
      <c r="BD213" s="278"/>
    </row>
    <row r="214" spans="1:56" ht="51" customHeight="1">
      <c r="A214" s="869"/>
      <c r="B214" s="870"/>
      <c r="C214" s="891"/>
      <c r="D214" s="892"/>
      <c r="E214" s="873"/>
      <c r="F214" s="874"/>
      <c r="G214" s="865"/>
      <c r="H214" s="865"/>
      <c r="I214" s="894"/>
      <c r="J214" s="136">
        <v>36594</v>
      </c>
      <c r="K214" s="507" t="s">
        <v>32</v>
      </c>
      <c r="L214" s="866"/>
      <c r="M214" s="865"/>
      <c r="N214" s="865"/>
      <c r="O214" s="916"/>
      <c r="P214" s="287">
        <f>F213/E213*P213</f>
        <v>70000</v>
      </c>
      <c r="Q214" s="507" t="s">
        <v>32</v>
      </c>
      <c r="R214" s="866"/>
      <c r="S214" s="507"/>
      <c r="T214" s="507"/>
      <c r="U214" s="507"/>
      <c r="V214" s="287"/>
      <c r="W214" s="274"/>
      <c r="X214" s="508"/>
      <c r="Y214" s="507"/>
      <c r="Z214" s="507"/>
      <c r="AA214" s="507"/>
      <c r="AB214" s="286"/>
      <c r="AC214" s="274"/>
      <c r="AD214" s="509"/>
      <c r="AE214" s="507"/>
      <c r="AF214" s="507"/>
      <c r="AG214" s="507"/>
      <c r="AH214" s="286"/>
      <c r="AI214" s="507"/>
      <c r="AJ214" s="509"/>
      <c r="AK214" s="507"/>
      <c r="AL214" s="507"/>
      <c r="AM214" s="507"/>
      <c r="AN214" s="286"/>
      <c r="AO214" s="507"/>
      <c r="AP214" s="509"/>
      <c r="AQ214" s="634"/>
      <c r="AR214" s="606"/>
      <c r="AS214" s="394"/>
      <c r="AT214" s="393"/>
      <c r="AU214" s="395"/>
      <c r="AV214" s="278"/>
      <c r="AW214" s="278"/>
      <c r="AX214" s="278"/>
      <c r="AY214" s="278"/>
      <c r="AZ214" s="278"/>
      <c r="BA214" s="278"/>
      <c r="BB214" s="278"/>
      <c r="BC214" s="278"/>
      <c r="BD214" s="278"/>
    </row>
    <row r="215" spans="1:56" ht="51" customHeight="1">
      <c r="A215" s="869">
        <v>61</v>
      </c>
      <c r="B215" s="870" t="s">
        <v>595</v>
      </c>
      <c r="C215" s="891" t="s">
        <v>596</v>
      </c>
      <c r="D215" s="892" t="s">
        <v>597</v>
      </c>
      <c r="E215" s="873">
        <v>32.274999999999999</v>
      </c>
      <c r="F215" s="874">
        <v>193650</v>
      </c>
      <c r="G215" s="514"/>
      <c r="H215" s="514"/>
      <c r="I215" s="328"/>
      <c r="J215" s="325"/>
      <c r="K215" s="514"/>
      <c r="L215" s="627"/>
      <c r="M215" s="865" t="s">
        <v>60</v>
      </c>
      <c r="N215" s="865" t="s">
        <v>598</v>
      </c>
      <c r="O215" s="865" t="s">
        <v>31</v>
      </c>
      <c r="P215" s="287">
        <v>4.3</v>
      </c>
      <c r="Q215" s="518" t="s">
        <v>17</v>
      </c>
      <c r="R215" s="866">
        <v>67100</v>
      </c>
      <c r="S215" s="507"/>
      <c r="T215" s="507"/>
      <c r="U215" s="515"/>
      <c r="V215" s="287"/>
      <c r="W215" s="274"/>
      <c r="X215" s="336"/>
      <c r="Y215" s="507"/>
      <c r="Z215" s="507"/>
      <c r="AA215" s="507" t="s">
        <v>482</v>
      </c>
      <c r="AB215" s="286"/>
      <c r="AC215" s="274"/>
      <c r="AD215" s="509"/>
      <c r="AE215" s="507"/>
      <c r="AF215" s="507"/>
      <c r="AG215" s="507" t="s">
        <v>482</v>
      </c>
      <c r="AH215" s="286"/>
      <c r="AI215" s="507"/>
      <c r="AJ215" s="509"/>
      <c r="AK215" s="507"/>
      <c r="AL215" s="507"/>
      <c r="AM215" s="507"/>
      <c r="AN215" s="286"/>
      <c r="AO215" s="507"/>
      <c r="AP215" s="509"/>
      <c r="AQ215" s="634"/>
      <c r="AR215" s="606"/>
      <c r="AS215" s="394"/>
      <c r="AT215" s="393"/>
      <c r="AU215" s="395"/>
      <c r="AV215" s="278"/>
      <c r="AW215" s="278"/>
      <c r="AX215" s="278"/>
      <c r="AY215" s="278"/>
      <c r="AZ215" s="278"/>
      <c r="BA215" s="278"/>
      <c r="BB215" s="278"/>
      <c r="BC215" s="278"/>
      <c r="BD215" s="278"/>
    </row>
    <row r="216" spans="1:56" ht="51" customHeight="1">
      <c r="A216" s="869"/>
      <c r="B216" s="870"/>
      <c r="C216" s="891"/>
      <c r="D216" s="892"/>
      <c r="E216" s="873"/>
      <c r="F216" s="874"/>
      <c r="G216" s="514"/>
      <c r="H216" s="514"/>
      <c r="I216" s="328"/>
      <c r="J216" s="325"/>
      <c r="K216" s="514"/>
      <c r="L216" s="627"/>
      <c r="M216" s="865"/>
      <c r="N216" s="865"/>
      <c r="O216" s="975"/>
      <c r="P216" s="287">
        <f>F215/E215*P215</f>
        <v>25800</v>
      </c>
      <c r="Q216" s="507" t="s">
        <v>32</v>
      </c>
      <c r="R216" s="866"/>
      <c r="S216" s="507"/>
      <c r="T216" s="507"/>
      <c r="U216" s="515"/>
      <c r="V216" s="287"/>
      <c r="W216" s="274"/>
      <c r="X216" s="336"/>
      <c r="Y216" s="507"/>
      <c r="Z216" s="507"/>
      <c r="AA216" s="507"/>
      <c r="AB216" s="286"/>
      <c r="AC216" s="274"/>
      <c r="AD216" s="509"/>
      <c r="AE216" s="507"/>
      <c r="AF216" s="507"/>
      <c r="AG216" s="507"/>
      <c r="AH216" s="286"/>
      <c r="AI216" s="507"/>
      <c r="AJ216" s="509"/>
      <c r="AK216" s="507"/>
      <c r="AL216" s="507"/>
      <c r="AM216" s="507"/>
      <c r="AN216" s="286"/>
      <c r="AO216" s="507"/>
      <c r="AP216" s="509"/>
      <c r="AQ216" s="634"/>
      <c r="AR216" s="606"/>
      <c r="AS216" s="394"/>
      <c r="AT216" s="393"/>
      <c r="AU216" s="395"/>
      <c r="AV216" s="278"/>
      <c r="AW216" s="278"/>
      <c r="AX216" s="278"/>
      <c r="AY216" s="278"/>
      <c r="AZ216" s="278"/>
      <c r="BA216" s="278"/>
      <c r="BB216" s="278"/>
      <c r="BC216" s="278"/>
      <c r="BD216" s="278"/>
    </row>
    <row r="217" spans="1:56" ht="51" customHeight="1">
      <c r="A217" s="869">
        <v>62</v>
      </c>
      <c r="B217" s="870" t="s">
        <v>599</v>
      </c>
      <c r="C217" s="891" t="s">
        <v>600</v>
      </c>
      <c r="D217" s="892" t="s">
        <v>601</v>
      </c>
      <c r="E217" s="873">
        <v>31.31</v>
      </c>
      <c r="F217" s="874">
        <v>187860</v>
      </c>
      <c r="G217" s="865"/>
      <c r="H217" s="865"/>
      <c r="I217" s="893"/>
      <c r="J217" s="534"/>
      <c r="K217" s="518"/>
      <c r="L217" s="866"/>
      <c r="M217" s="865" t="s">
        <v>60</v>
      </c>
      <c r="N217" s="865" t="s">
        <v>2692</v>
      </c>
      <c r="O217" s="865" t="s">
        <v>31</v>
      </c>
      <c r="P217" s="287">
        <v>12</v>
      </c>
      <c r="Q217" s="518" t="s">
        <v>17</v>
      </c>
      <c r="R217" s="866">
        <v>253500</v>
      </c>
      <c r="S217" s="865" t="s">
        <v>602</v>
      </c>
      <c r="T217" s="865" t="s">
        <v>2560</v>
      </c>
      <c r="U217" s="865" t="s">
        <v>31</v>
      </c>
      <c r="V217" s="286">
        <v>10</v>
      </c>
      <c r="W217" s="518" t="s">
        <v>17</v>
      </c>
      <c r="X217" s="866">
        <f>20685*V217*1.046</f>
        <v>216365.1</v>
      </c>
      <c r="Y217" s="507"/>
      <c r="Z217" s="507"/>
      <c r="AA217" s="507"/>
      <c r="AB217" s="286"/>
      <c r="AC217" s="274"/>
      <c r="AD217" s="509"/>
      <c r="AE217" s="507"/>
      <c r="AF217" s="507"/>
      <c r="AG217" s="507" t="s">
        <v>482</v>
      </c>
      <c r="AH217" s="286"/>
      <c r="AI217" s="507"/>
      <c r="AJ217" s="509"/>
      <c r="AK217" s="507"/>
      <c r="AL217" s="507"/>
      <c r="AM217" s="507" t="s">
        <v>482</v>
      </c>
      <c r="AN217" s="286"/>
      <c r="AO217" s="507"/>
      <c r="AP217" s="509"/>
      <c r="AQ217" s="634"/>
      <c r="AR217" s="606"/>
      <c r="AS217" s="394"/>
      <c r="AT217" s="393"/>
      <c r="AU217" s="395"/>
      <c r="AV217" s="278"/>
      <c r="AW217" s="278"/>
      <c r="AX217" s="278"/>
      <c r="AY217" s="278"/>
      <c r="AZ217" s="278"/>
      <c r="BA217" s="278"/>
      <c r="BB217" s="278"/>
      <c r="BC217" s="278"/>
      <c r="BD217" s="278"/>
    </row>
    <row r="218" spans="1:56" ht="51" customHeight="1">
      <c r="A218" s="869"/>
      <c r="B218" s="870"/>
      <c r="C218" s="891"/>
      <c r="D218" s="892"/>
      <c r="E218" s="873"/>
      <c r="F218" s="874"/>
      <c r="G218" s="865"/>
      <c r="H218" s="865"/>
      <c r="I218" s="894"/>
      <c r="J218" s="534"/>
      <c r="K218" s="507"/>
      <c r="L218" s="866"/>
      <c r="M218" s="865"/>
      <c r="N218" s="865"/>
      <c r="O218" s="975"/>
      <c r="P218" s="287">
        <f>F217/E217*P217</f>
        <v>72000</v>
      </c>
      <c r="Q218" s="507" t="s">
        <v>32</v>
      </c>
      <c r="R218" s="866"/>
      <c r="S218" s="865"/>
      <c r="T218" s="865"/>
      <c r="U218" s="975"/>
      <c r="V218" s="287">
        <f>V217*F217/E217</f>
        <v>60000</v>
      </c>
      <c r="W218" s="507" t="s">
        <v>32</v>
      </c>
      <c r="X218" s="866"/>
      <c r="Y218" s="507"/>
      <c r="Z218" s="507"/>
      <c r="AA218" s="507"/>
      <c r="AB218" s="286"/>
      <c r="AC218" s="274"/>
      <c r="AD218" s="509"/>
      <c r="AE218" s="507"/>
      <c r="AF218" s="507"/>
      <c r="AG218" s="507"/>
      <c r="AH218" s="286"/>
      <c r="AI218" s="507"/>
      <c r="AJ218" s="509"/>
      <c r="AK218" s="507"/>
      <c r="AL218" s="507"/>
      <c r="AM218" s="507"/>
      <c r="AN218" s="286"/>
      <c r="AO218" s="507"/>
      <c r="AP218" s="509"/>
      <c r="AQ218" s="634"/>
      <c r="AR218" s="606"/>
      <c r="AS218" s="394"/>
      <c r="AT218" s="393"/>
      <c r="AU218" s="395"/>
      <c r="AV218" s="278"/>
      <c r="AW218" s="278"/>
      <c r="AX218" s="278"/>
      <c r="AY218" s="278"/>
      <c r="AZ218" s="278"/>
      <c r="BA218" s="278"/>
      <c r="BB218" s="278"/>
      <c r="BC218" s="278"/>
      <c r="BD218" s="278"/>
    </row>
    <row r="219" spans="1:56">
      <c r="A219" s="869">
        <v>63</v>
      </c>
      <c r="B219" s="870">
        <v>805515</v>
      </c>
      <c r="C219" s="892" t="s">
        <v>603</v>
      </c>
      <c r="D219" s="892" t="s">
        <v>604</v>
      </c>
      <c r="E219" s="873">
        <v>66.352999999999994</v>
      </c>
      <c r="F219" s="874">
        <v>448546.27999999997</v>
      </c>
      <c r="G219" s="865" t="s">
        <v>605</v>
      </c>
      <c r="H219" s="865" t="s">
        <v>606</v>
      </c>
      <c r="I219" s="893" t="s">
        <v>114</v>
      </c>
      <c r="J219" s="274">
        <v>2.1</v>
      </c>
      <c r="K219" s="518" t="s">
        <v>17</v>
      </c>
      <c r="L219" s="866">
        <f>43913.86645/5*J219</f>
        <v>18443.823909000002</v>
      </c>
      <c r="M219" s="865" t="s">
        <v>107</v>
      </c>
      <c r="N219" s="865" t="s">
        <v>607</v>
      </c>
      <c r="O219" s="893" t="s">
        <v>114</v>
      </c>
      <c r="P219" s="286">
        <v>10</v>
      </c>
      <c r="Q219" s="518" t="s">
        <v>17</v>
      </c>
      <c r="R219" s="866">
        <v>220850</v>
      </c>
      <c r="S219" s="865" t="s">
        <v>608</v>
      </c>
      <c r="T219" s="865" t="s">
        <v>609</v>
      </c>
      <c r="U219" s="893" t="s">
        <v>114</v>
      </c>
      <c r="V219" s="286">
        <v>13.3</v>
      </c>
      <c r="W219" s="518" t="s">
        <v>17</v>
      </c>
      <c r="X219" s="866">
        <v>153000.54</v>
      </c>
      <c r="Y219" s="14"/>
      <c r="Z219" s="14"/>
      <c r="AA219" s="14"/>
      <c r="AB219" s="289"/>
      <c r="AC219" s="14"/>
      <c r="AD219" s="622"/>
      <c r="AE219" s="507"/>
      <c r="AF219" s="507"/>
      <c r="AG219" s="507" t="s">
        <v>482</v>
      </c>
      <c r="AH219" s="286"/>
      <c r="AI219" s="507"/>
      <c r="AJ219" s="509"/>
      <c r="AK219" s="507"/>
      <c r="AL219" s="507"/>
      <c r="AM219" s="507" t="s">
        <v>482</v>
      </c>
      <c r="AN219" s="286"/>
      <c r="AO219" s="507"/>
      <c r="AP219" s="509"/>
      <c r="AQ219" s="634"/>
      <c r="AR219" s="606"/>
      <c r="AS219" s="394"/>
      <c r="AT219" s="393"/>
      <c r="AU219" s="395"/>
      <c r="AV219" s="278"/>
      <c r="AW219" s="278"/>
      <c r="AX219" s="278"/>
      <c r="AY219" s="278"/>
      <c r="AZ219" s="278"/>
      <c r="BA219" s="278"/>
      <c r="BB219" s="278"/>
      <c r="BC219" s="278"/>
      <c r="BD219" s="278"/>
    </row>
    <row r="220" spans="1:56">
      <c r="A220" s="869"/>
      <c r="B220" s="870"/>
      <c r="C220" s="892"/>
      <c r="D220" s="892"/>
      <c r="E220" s="873"/>
      <c r="F220" s="874"/>
      <c r="G220" s="865"/>
      <c r="H220" s="865"/>
      <c r="I220" s="916"/>
      <c r="J220" s="136">
        <v>14706</v>
      </c>
      <c r="K220" s="507" t="s">
        <v>32</v>
      </c>
      <c r="L220" s="866"/>
      <c r="M220" s="865"/>
      <c r="N220" s="865"/>
      <c r="O220" s="916"/>
      <c r="P220" s="287">
        <f>F219/E219*P219</f>
        <v>67600</v>
      </c>
      <c r="Q220" s="507" t="s">
        <v>32</v>
      </c>
      <c r="R220" s="866"/>
      <c r="S220" s="865"/>
      <c r="T220" s="865"/>
      <c r="U220" s="916"/>
      <c r="V220" s="287">
        <f>F219/E219*V219</f>
        <v>89908</v>
      </c>
      <c r="W220" s="507" t="s">
        <v>32</v>
      </c>
      <c r="X220" s="866"/>
      <c r="Y220" s="14"/>
      <c r="Z220" s="14"/>
      <c r="AA220" s="14"/>
      <c r="AB220" s="289"/>
      <c r="AC220" s="14"/>
      <c r="AD220" s="622"/>
      <c r="AE220" s="507"/>
      <c r="AF220" s="507"/>
      <c r="AG220" s="507"/>
      <c r="AH220" s="286"/>
      <c r="AI220" s="507"/>
      <c r="AJ220" s="509"/>
      <c r="AK220" s="507"/>
      <c r="AL220" s="507"/>
      <c r="AM220" s="507"/>
      <c r="AN220" s="286"/>
      <c r="AO220" s="507"/>
      <c r="AP220" s="509"/>
      <c r="AQ220" s="634"/>
      <c r="AR220" s="606"/>
      <c r="AS220" s="394"/>
      <c r="AT220" s="393"/>
      <c r="AU220" s="395"/>
      <c r="AV220" s="278"/>
      <c r="AW220" s="278"/>
      <c r="AX220" s="278"/>
      <c r="AY220" s="278"/>
      <c r="AZ220" s="278"/>
      <c r="BA220" s="278"/>
      <c r="BB220" s="278"/>
      <c r="BC220" s="278"/>
      <c r="BD220" s="278"/>
    </row>
    <row r="221" spans="1:56" ht="29.25" customHeight="1">
      <c r="A221" s="869"/>
      <c r="B221" s="870"/>
      <c r="C221" s="892"/>
      <c r="D221" s="892"/>
      <c r="E221" s="873"/>
      <c r="F221" s="874"/>
      <c r="G221" s="893" t="s">
        <v>3503</v>
      </c>
      <c r="H221" s="865" t="s">
        <v>610</v>
      </c>
      <c r="I221" s="893" t="s">
        <v>114</v>
      </c>
      <c r="J221" s="274">
        <v>2.9</v>
      </c>
      <c r="K221" s="518" t="s">
        <v>17</v>
      </c>
      <c r="L221" s="866">
        <f>43913.86645/5*J221</f>
        <v>25470.042541000003</v>
      </c>
      <c r="M221" s="865" t="s">
        <v>611</v>
      </c>
      <c r="N221" s="865" t="s">
        <v>612</v>
      </c>
      <c r="O221" s="893" t="s">
        <v>114</v>
      </c>
      <c r="P221" s="286">
        <v>3</v>
      </c>
      <c r="Q221" s="518" t="s">
        <v>17</v>
      </c>
      <c r="R221" s="866">
        <v>44661</v>
      </c>
      <c r="S221" s="507"/>
      <c r="T221" s="507"/>
      <c r="U221" s="507"/>
      <c r="V221" s="287"/>
      <c r="W221" s="507"/>
      <c r="X221" s="508"/>
      <c r="Y221" s="14"/>
      <c r="Z221" s="14"/>
      <c r="AA221" s="14"/>
      <c r="AB221" s="289"/>
      <c r="AC221" s="14"/>
      <c r="AD221" s="622"/>
      <c r="AE221" s="507"/>
      <c r="AF221" s="507"/>
      <c r="AG221" s="507"/>
      <c r="AH221" s="286"/>
      <c r="AI221" s="507"/>
      <c r="AJ221" s="509"/>
      <c r="AK221" s="507"/>
      <c r="AL221" s="507"/>
      <c r="AM221" s="507"/>
      <c r="AN221" s="286"/>
      <c r="AO221" s="507"/>
      <c r="AP221" s="509"/>
      <c r="AQ221" s="634"/>
      <c r="AR221" s="606"/>
      <c r="AS221" s="394"/>
      <c r="AT221" s="393"/>
      <c r="AU221" s="395"/>
      <c r="AV221" s="278"/>
      <c r="AW221" s="278"/>
      <c r="AX221" s="278"/>
      <c r="AY221" s="278"/>
      <c r="AZ221" s="278"/>
      <c r="BA221" s="278"/>
      <c r="BB221" s="278"/>
      <c r="BC221" s="278"/>
      <c r="BD221" s="278"/>
    </row>
    <row r="222" spans="1:56" ht="29.25" customHeight="1">
      <c r="A222" s="869"/>
      <c r="B222" s="870"/>
      <c r="C222" s="892"/>
      <c r="D222" s="892"/>
      <c r="E222" s="873"/>
      <c r="F222" s="874"/>
      <c r="G222" s="865"/>
      <c r="H222" s="865"/>
      <c r="I222" s="916"/>
      <c r="J222" s="136">
        <v>19604</v>
      </c>
      <c r="K222" s="507" t="s">
        <v>32</v>
      </c>
      <c r="L222" s="866"/>
      <c r="M222" s="865"/>
      <c r="N222" s="865"/>
      <c r="O222" s="916"/>
      <c r="P222" s="287">
        <f>P221*F219/E219</f>
        <v>20280</v>
      </c>
      <c r="Q222" s="507" t="s">
        <v>32</v>
      </c>
      <c r="R222" s="866"/>
      <c r="S222" s="507"/>
      <c r="T222" s="507"/>
      <c r="U222" s="507"/>
      <c r="V222" s="287"/>
      <c r="W222" s="507"/>
      <c r="X222" s="508"/>
      <c r="Y222" s="14"/>
      <c r="Z222" s="14"/>
      <c r="AA222" s="14"/>
      <c r="AB222" s="289"/>
      <c r="AC222" s="14"/>
      <c r="AD222" s="622"/>
      <c r="AE222" s="507"/>
      <c r="AF222" s="507"/>
      <c r="AG222" s="507"/>
      <c r="AH222" s="286"/>
      <c r="AI222" s="507"/>
      <c r="AJ222" s="509"/>
      <c r="AK222" s="507"/>
      <c r="AL222" s="507"/>
      <c r="AM222" s="507"/>
      <c r="AN222" s="286"/>
      <c r="AO222" s="507"/>
      <c r="AP222" s="509"/>
      <c r="AQ222" s="634"/>
      <c r="AR222" s="606"/>
      <c r="AS222" s="394"/>
      <c r="AT222" s="393"/>
      <c r="AU222" s="395"/>
      <c r="AV222" s="278"/>
      <c r="AW222" s="278"/>
      <c r="AX222" s="278"/>
      <c r="AY222" s="278"/>
      <c r="AZ222" s="278"/>
      <c r="BA222" s="278"/>
      <c r="BB222" s="278"/>
      <c r="BC222" s="278"/>
      <c r="BD222" s="278"/>
    </row>
    <row r="223" spans="1:56">
      <c r="A223" s="869"/>
      <c r="B223" s="870"/>
      <c r="C223" s="892"/>
      <c r="D223" s="892"/>
      <c r="E223" s="873"/>
      <c r="F223" s="874"/>
      <c r="G223" s="865" t="s">
        <v>60</v>
      </c>
      <c r="H223" s="865" t="s">
        <v>107</v>
      </c>
      <c r="I223" s="893" t="s">
        <v>114</v>
      </c>
      <c r="J223" s="274">
        <v>3.66</v>
      </c>
      <c r="K223" s="518" t="s">
        <v>17</v>
      </c>
      <c r="L223" s="866">
        <v>44661.521999999997</v>
      </c>
      <c r="M223" s="507"/>
      <c r="N223" s="507"/>
      <c r="O223" s="507"/>
      <c r="P223" s="287"/>
      <c r="Q223" s="507"/>
      <c r="R223" s="508"/>
      <c r="S223" s="507"/>
      <c r="T223" s="507"/>
      <c r="U223" s="507"/>
      <c r="V223" s="287"/>
      <c r="W223" s="507"/>
      <c r="X223" s="508"/>
      <c r="Y223" s="14"/>
      <c r="Z223" s="14"/>
      <c r="AA223" s="14"/>
      <c r="AB223" s="289"/>
      <c r="AC223" s="14"/>
      <c r="AD223" s="622"/>
      <c r="AE223" s="507"/>
      <c r="AF223" s="507"/>
      <c r="AG223" s="507"/>
      <c r="AH223" s="286"/>
      <c r="AI223" s="507"/>
      <c r="AJ223" s="509"/>
      <c r="AK223" s="507"/>
      <c r="AL223" s="507"/>
      <c r="AM223" s="507"/>
      <c r="AN223" s="286"/>
      <c r="AO223" s="507"/>
      <c r="AP223" s="509"/>
      <c r="AQ223" s="634"/>
      <c r="AR223" s="606"/>
      <c r="AS223" s="394"/>
      <c r="AT223" s="393"/>
      <c r="AU223" s="395"/>
      <c r="AV223" s="278"/>
      <c r="AW223" s="278"/>
      <c r="AX223" s="278"/>
      <c r="AY223" s="278"/>
      <c r="AZ223" s="278"/>
      <c r="BA223" s="278"/>
      <c r="BB223" s="278"/>
      <c r="BC223" s="278"/>
      <c r="BD223" s="278"/>
    </row>
    <row r="224" spans="1:56">
      <c r="A224" s="869"/>
      <c r="B224" s="870"/>
      <c r="C224" s="892"/>
      <c r="D224" s="892"/>
      <c r="E224" s="873"/>
      <c r="F224" s="874"/>
      <c r="G224" s="865"/>
      <c r="H224" s="865"/>
      <c r="I224" s="916"/>
      <c r="J224" s="136">
        <f>J223/E219*F219</f>
        <v>24741.600000000002</v>
      </c>
      <c r="K224" s="507" t="s">
        <v>32</v>
      </c>
      <c r="L224" s="866"/>
      <c r="M224" s="507"/>
      <c r="N224" s="507"/>
      <c r="O224" s="507"/>
      <c r="P224" s="287"/>
      <c r="Q224" s="507"/>
      <c r="R224" s="508"/>
      <c r="S224" s="507"/>
      <c r="T224" s="507"/>
      <c r="U224" s="507"/>
      <c r="V224" s="287"/>
      <c r="W224" s="507"/>
      <c r="X224" s="508"/>
      <c r="Y224" s="14"/>
      <c r="Z224" s="14"/>
      <c r="AA224" s="14"/>
      <c r="AB224" s="289"/>
      <c r="AC224" s="14"/>
      <c r="AD224" s="622"/>
      <c r="AE224" s="507"/>
      <c r="AF224" s="507"/>
      <c r="AG224" s="507"/>
      <c r="AH224" s="286"/>
      <c r="AI224" s="507"/>
      <c r="AJ224" s="509"/>
      <c r="AK224" s="507"/>
      <c r="AL224" s="507"/>
      <c r="AM224" s="507"/>
      <c r="AN224" s="286"/>
      <c r="AO224" s="507"/>
      <c r="AP224" s="509"/>
      <c r="AQ224" s="634"/>
      <c r="AR224" s="606"/>
      <c r="AS224" s="394"/>
      <c r="AT224" s="393"/>
      <c r="AU224" s="395"/>
      <c r="AV224" s="278"/>
      <c r="AW224" s="278"/>
      <c r="AX224" s="278"/>
      <c r="AY224" s="278"/>
      <c r="AZ224" s="278"/>
      <c r="BA224" s="278"/>
      <c r="BB224" s="278"/>
      <c r="BC224" s="278"/>
      <c r="BD224" s="278"/>
    </row>
    <row r="225" spans="1:56" ht="39">
      <c r="A225" s="869"/>
      <c r="B225" s="870"/>
      <c r="C225" s="892"/>
      <c r="D225" s="892"/>
      <c r="E225" s="873"/>
      <c r="F225" s="874"/>
      <c r="G225" s="507" t="s">
        <v>60</v>
      </c>
      <c r="H225" s="507" t="s">
        <v>107</v>
      </c>
      <c r="I225" s="512" t="s">
        <v>2682</v>
      </c>
      <c r="J225" s="136">
        <v>1</v>
      </c>
      <c r="K225" s="507" t="s">
        <v>118</v>
      </c>
      <c r="L225" s="508">
        <v>45.6</v>
      </c>
      <c r="M225" s="507"/>
      <c r="N225" s="507"/>
      <c r="O225" s="507"/>
      <c r="P225" s="287"/>
      <c r="Q225" s="507"/>
      <c r="R225" s="508"/>
      <c r="S225" s="507"/>
      <c r="T225" s="507"/>
      <c r="U225" s="507"/>
      <c r="V225" s="287"/>
      <c r="W225" s="507"/>
      <c r="X225" s="508"/>
      <c r="Y225" s="14"/>
      <c r="Z225" s="14"/>
      <c r="AA225" s="14"/>
      <c r="AB225" s="289"/>
      <c r="AC225" s="14"/>
      <c r="AD225" s="622"/>
      <c r="AE225" s="507"/>
      <c r="AF225" s="507"/>
      <c r="AG225" s="507"/>
      <c r="AH225" s="286"/>
      <c r="AI225" s="507"/>
      <c r="AJ225" s="509"/>
      <c r="AK225" s="507"/>
      <c r="AL225" s="507"/>
      <c r="AM225" s="507"/>
      <c r="AN225" s="286"/>
      <c r="AO225" s="507"/>
      <c r="AP225" s="509"/>
      <c r="AQ225" s="634"/>
      <c r="AR225" s="606"/>
      <c r="AS225" s="394"/>
      <c r="AT225" s="393"/>
      <c r="AU225" s="395"/>
      <c r="AV225" s="278"/>
      <c r="AW225" s="278"/>
      <c r="AX225" s="278"/>
      <c r="AY225" s="278"/>
      <c r="AZ225" s="278"/>
      <c r="BA225" s="278"/>
      <c r="BB225" s="278"/>
      <c r="BC225" s="278"/>
      <c r="BD225" s="278"/>
    </row>
    <row r="226" spans="1:56">
      <c r="A226" s="869"/>
      <c r="B226" s="870"/>
      <c r="C226" s="892"/>
      <c r="D226" s="892"/>
      <c r="E226" s="873"/>
      <c r="F226" s="874"/>
      <c r="G226" s="507"/>
      <c r="H226" s="507"/>
      <c r="I226" s="512"/>
      <c r="J226" s="136"/>
      <c r="K226" s="507"/>
      <c r="L226" s="508"/>
      <c r="M226" s="507"/>
      <c r="N226" s="507"/>
      <c r="O226" s="507"/>
      <c r="P226" s="287"/>
      <c r="Q226" s="507"/>
      <c r="R226" s="508"/>
      <c r="S226" s="507"/>
      <c r="T226" s="507"/>
      <c r="U226" s="507"/>
      <c r="V226" s="287"/>
      <c r="W226" s="507"/>
      <c r="X226" s="508"/>
      <c r="Y226" s="14"/>
      <c r="Z226" s="14"/>
      <c r="AA226" s="14"/>
      <c r="AB226" s="289"/>
      <c r="AC226" s="14"/>
      <c r="AD226" s="622"/>
      <c r="AE226" s="507"/>
      <c r="AF226" s="507"/>
      <c r="AG226" s="507"/>
      <c r="AH226" s="286"/>
      <c r="AI226" s="507"/>
      <c r="AJ226" s="509"/>
      <c r="AK226" s="507"/>
      <c r="AL226" s="507"/>
      <c r="AM226" s="507"/>
      <c r="AN226" s="286"/>
      <c r="AO226" s="507"/>
      <c r="AP226" s="509"/>
      <c r="AQ226" s="634"/>
      <c r="AR226" s="606"/>
      <c r="AS226" s="394"/>
      <c r="AT226" s="393"/>
      <c r="AU226" s="395"/>
      <c r="AV226" s="278"/>
      <c r="AW226" s="278"/>
      <c r="AX226" s="278"/>
      <c r="AY226" s="278"/>
      <c r="AZ226" s="278"/>
      <c r="BA226" s="278"/>
      <c r="BB226" s="278"/>
      <c r="BC226" s="278"/>
      <c r="BD226" s="278"/>
    </row>
    <row r="227" spans="1:56">
      <c r="A227" s="869">
        <v>64</v>
      </c>
      <c r="B227" s="870">
        <v>805748</v>
      </c>
      <c r="C227" s="892" t="s">
        <v>613</v>
      </c>
      <c r="D227" s="892" t="s">
        <v>614</v>
      </c>
      <c r="E227" s="873">
        <v>5.6139999999999999</v>
      </c>
      <c r="F227" s="874">
        <v>42048.86</v>
      </c>
      <c r="G227" s="865" t="s">
        <v>615</v>
      </c>
      <c r="H227" s="865" t="s">
        <v>616</v>
      </c>
      <c r="I227" s="893" t="s">
        <v>114</v>
      </c>
      <c r="J227" s="137">
        <v>2.2999999999999998</v>
      </c>
      <c r="K227" s="518" t="s">
        <v>17</v>
      </c>
      <c r="L227" s="866">
        <f>35809.88858</f>
        <v>35809.888579999999</v>
      </c>
      <c r="M227" s="507"/>
      <c r="N227" s="507"/>
      <c r="O227" s="507" t="s">
        <v>482</v>
      </c>
      <c r="P227" s="287"/>
      <c r="Q227" s="513"/>
      <c r="R227" s="508"/>
      <c r="S227" s="865"/>
      <c r="T227" s="865"/>
      <c r="U227" s="865"/>
      <c r="V227" s="286"/>
      <c r="W227" s="518"/>
      <c r="X227" s="866"/>
      <c r="Y227" s="507"/>
      <c r="Z227" s="507"/>
      <c r="AA227" s="507" t="s">
        <v>482</v>
      </c>
      <c r="AB227" s="286"/>
      <c r="AC227" s="274"/>
      <c r="AD227" s="509"/>
      <c r="AE227" s="507"/>
      <c r="AF227" s="507"/>
      <c r="AG227" s="507" t="s">
        <v>482</v>
      </c>
      <c r="AH227" s="286"/>
      <c r="AI227" s="507"/>
      <c r="AJ227" s="509"/>
      <c r="AK227" s="507"/>
      <c r="AL227" s="507"/>
      <c r="AM227" s="507" t="s">
        <v>482</v>
      </c>
      <c r="AN227" s="286"/>
      <c r="AO227" s="507"/>
      <c r="AP227" s="509"/>
      <c r="AQ227" s="634"/>
      <c r="AR227" s="606"/>
      <c r="AS227" s="394"/>
      <c r="AT227" s="393"/>
      <c r="AU227" s="395"/>
      <c r="AV227" s="278"/>
      <c r="AW227" s="278"/>
      <c r="AX227" s="278"/>
      <c r="AY227" s="278"/>
      <c r="AZ227" s="278"/>
      <c r="BA227" s="278"/>
      <c r="BB227" s="278"/>
      <c r="BC227" s="278"/>
      <c r="BD227" s="278"/>
    </row>
    <row r="228" spans="1:56">
      <c r="A228" s="869"/>
      <c r="B228" s="870"/>
      <c r="C228" s="892"/>
      <c r="D228" s="892"/>
      <c r="E228" s="873"/>
      <c r="F228" s="874"/>
      <c r="G228" s="865"/>
      <c r="H228" s="865"/>
      <c r="I228" s="916"/>
      <c r="J228" s="534">
        <f>F227/E227*J227</f>
        <v>17227</v>
      </c>
      <c r="K228" s="507" t="s">
        <v>32</v>
      </c>
      <c r="L228" s="866"/>
      <c r="M228" s="507"/>
      <c r="N228" s="507"/>
      <c r="O228" s="507"/>
      <c r="P228" s="287"/>
      <c r="Q228" s="513"/>
      <c r="R228" s="508"/>
      <c r="S228" s="865"/>
      <c r="T228" s="865"/>
      <c r="U228" s="975"/>
      <c r="V228" s="287"/>
      <c r="W228" s="507"/>
      <c r="X228" s="866"/>
      <c r="Y228" s="507"/>
      <c r="Z228" s="507"/>
      <c r="AA228" s="507"/>
      <c r="AB228" s="286"/>
      <c r="AC228" s="274"/>
      <c r="AD228" s="509"/>
      <c r="AE228" s="507"/>
      <c r="AF228" s="507"/>
      <c r="AG228" s="507"/>
      <c r="AH228" s="286"/>
      <c r="AI228" s="507"/>
      <c r="AJ228" s="509"/>
      <c r="AK228" s="507"/>
      <c r="AL228" s="507"/>
      <c r="AM228" s="507"/>
      <c r="AN228" s="286"/>
      <c r="AO228" s="507"/>
      <c r="AP228" s="509"/>
      <c r="AQ228" s="634"/>
      <c r="AR228" s="606"/>
      <c r="AS228" s="394"/>
      <c r="AT228" s="393"/>
      <c r="AU228" s="395"/>
      <c r="AV228" s="278"/>
      <c r="AW228" s="278"/>
      <c r="AX228" s="278"/>
      <c r="AY228" s="278"/>
      <c r="AZ228" s="278"/>
      <c r="BA228" s="278"/>
      <c r="BB228" s="278"/>
      <c r="BC228" s="278"/>
      <c r="BD228" s="278"/>
    </row>
    <row r="229" spans="1:56" ht="39">
      <c r="A229" s="869"/>
      <c r="B229" s="870"/>
      <c r="C229" s="892"/>
      <c r="D229" s="892"/>
      <c r="E229" s="873"/>
      <c r="F229" s="874"/>
      <c r="G229" s="865"/>
      <c r="H229" s="865"/>
      <c r="I229" s="512" t="s">
        <v>2682</v>
      </c>
      <c r="J229" s="534">
        <v>1</v>
      </c>
      <c r="K229" s="507" t="s">
        <v>118</v>
      </c>
      <c r="L229" s="336">
        <v>11.5</v>
      </c>
      <c r="M229" s="507"/>
      <c r="N229" s="507"/>
      <c r="O229" s="507"/>
      <c r="P229" s="287"/>
      <c r="Q229" s="513"/>
      <c r="R229" s="508"/>
      <c r="S229" s="507"/>
      <c r="T229" s="507"/>
      <c r="U229" s="513"/>
      <c r="V229" s="287"/>
      <c r="W229" s="507"/>
      <c r="X229" s="508"/>
      <c r="Y229" s="507"/>
      <c r="Z229" s="507"/>
      <c r="AA229" s="507"/>
      <c r="AB229" s="286"/>
      <c r="AC229" s="274"/>
      <c r="AD229" s="509"/>
      <c r="AE229" s="507"/>
      <c r="AF229" s="507"/>
      <c r="AG229" s="507"/>
      <c r="AH229" s="286"/>
      <c r="AI229" s="507"/>
      <c r="AJ229" s="509"/>
      <c r="AK229" s="507"/>
      <c r="AL229" s="507"/>
      <c r="AM229" s="507"/>
      <c r="AN229" s="286"/>
      <c r="AO229" s="507"/>
      <c r="AP229" s="509"/>
      <c r="AQ229" s="634"/>
      <c r="AR229" s="606"/>
      <c r="AS229" s="394"/>
      <c r="AT229" s="393"/>
      <c r="AU229" s="395"/>
      <c r="AV229" s="278"/>
      <c r="AW229" s="278"/>
      <c r="AX229" s="278"/>
      <c r="AY229" s="278"/>
      <c r="AZ229" s="278"/>
      <c r="BA229" s="278"/>
      <c r="BB229" s="278"/>
      <c r="BC229" s="278"/>
      <c r="BD229" s="278"/>
    </row>
    <row r="230" spans="1:56">
      <c r="A230" s="869"/>
      <c r="B230" s="870"/>
      <c r="C230" s="892"/>
      <c r="D230" s="892"/>
      <c r="E230" s="873"/>
      <c r="F230" s="874"/>
      <c r="G230" s="865" t="s">
        <v>616</v>
      </c>
      <c r="H230" s="865" t="s">
        <v>617</v>
      </c>
      <c r="I230" s="893" t="s">
        <v>114</v>
      </c>
      <c r="J230" s="137">
        <v>1.014</v>
      </c>
      <c r="K230" s="518" t="s">
        <v>17</v>
      </c>
      <c r="L230" s="866">
        <v>22622.652170000001</v>
      </c>
      <c r="M230" s="507"/>
      <c r="N230" s="507"/>
      <c r="O230" s="507"/>
      <c r="P230" s="287"/>
      <c r="Q230" s="513"/>
      <c r="R230" s="508"/>
      <c r="S230" s="507"/>
      <c r="T230" s="507"/>
      <c r="U230" s="513"/>
      <c r="V230" s="287"/>
      <c r="W230" s="507"/>
      <c r="X230" s="508"/>
      <c r="Y230" s="507"/>
      <c r="Z230" s="507"/>
      <c r="AA230" s="507"/>
      <c r="AB230" s="286"/>
      <c r="AC230" s="274"/>
      <c r="AD230" s="509"/>
      <c r="AE230" s="507"/>
      <c r="AF230" s="507"/>
      <c r="AG230" s="507"/>
      <c r="AH230" s="286"/>
      <c r="AI230" s="507"/>
      <c r="AJ230" s="509"/>
      <c r="AK230" s="507"/>
      <c r="AL230" s="507"/>
      <c r="AM230" s="507"/>
      <c r="AN230" s="286"/>
      <c r="AO230" s="507"/>
      <c r="AP230" s="509"/>
      <c r="AQ230" s="634"/>
      <c r="AR230" s="606"/>
      <c r="AS230" s="394"/>
      <c r="AT230" s="393"/>
      <c r="AU230" s="395"/>
      <c r="AV230" s="278"/>
      <c r="AW230" s="278"/>
      <c r="AX230" s="278"/>
      <c r="AY230" s="278"/>
      <c r="AZ230" s="278"/>
      <c r="BA230" s="278"/>
      <c r="BB230" s="278"/>
      <c r="BC230" s="278"/>
      <c r="BD230" s="278"/>
    </row>
    <row r="231" spans="1:56">
      <c r="A231" s="869"/>
      <c r="B231" s="870"/>
      <c r="C231" s="892"/>
      <c r="D231" s="892"/>
      <c r="E231" s="873"/>
      <c r="F231" s="874"/>
      <c r="G231" s="865"/>
      <c r="H231" s="865"/>
      <c r="I231" s="916"/>
      <c r="J231" s="534">
        <f>J230*F227/E227</f>
        <v>7594.8600000000006</v>
      </c>
      <c r="K231" s="507" t="s">
        <v>32</v>
      </c>
      <c r="L231" s="866"/>
      <c r="M231" s="507"/>
      <c r="N231" s="507"/>
      <c r="O231" s="507"/>
      <c r="P231" s="287"/>
      <c r="Q231" s="513"/>
      <c r="R231" s="508"/>
      <c r="S231" s="507"/>
      <c r="T231" s="507"/>
      <c r="U231" s="513"/>
      <c r="V231" s="287"/>
      <c r="W231" s="507"/>
      <c r="X231" s="508"/>
      <c r="Y231" s="507"/>
      <c r="Z231" s="507"/>
      <c r="AA231" s="507"/>
      <c r="AB231" s="286"/>
      <c r="AC231" s="274"/>
      <c r="AD231" s="509"/>
      <c r="AE231" s="507"/>
      <c r="AF231" s="507"/>
      <c r="AG231" s="507"/>
      <c r="AH231" s="286"/>
      <c r="AI231" s="507"/>
      <c r="AJ231" s="509"/>
      <c r="AK231" s="507"/>
      <c r="AL231" s="507"/>
      <c r="AM231" s="507"/>
      <c r="AN231" s="286"/>
      <c r="AO231" s="507"/>
      <c r="AP231" s="509"/>
      <c r="AQ231" s="634"/>
      <c r="AR231" s="606"/>
      <c r="AS231" s="394"/>
      <c r="AT231" s="393"/>
      <c r="AU231" s="395"/>
      <c r="AV231" s="278"/>
      <c r="AW231" s="278"/>
      <c r="AX231" s="278"/>
      <c r="AY231" s="278"/>
      <c r="AZ231" s="278"/>
      <c r="BA231" s="278"/>
      <c r="BB231" s="278"/>
      <c r="BC231" s="278"/>
      <c r="BD231" s="278"/>
    </row>
    <row r="232" spans="1:56" ht="39">
      <c r="A232" s="869"/>
      <c r="B232" s="870"/>
      <c r="C232" s="892"/>
      <c r="D232" s="892"/>
      <c r="E232" s="873"/>
      <c r="F232" s="874"/>
      <c r="G232" s="507" t="s">
        <v>616</v>
      </c>
      <c r="H232" s="507" t="s">
        <v>617</v>
      </c>
      <c r="I232" s="512" t="s">
        <v>2682</v>
      </c>
      <c r="J232" s="534">
        <v>1</v>
      </c>
      <c r="K232" s="507" t="s">
        <v>118</v>
      </c>
      <c r="L232" s="508">
        <v>11.661</v>
      </c>
      <c r="M232" s="507"/>
      <c r="N232" s="507"/>
      <c r="O232" s="507"/>
      <c r="P232" s="287"/>
      <c r="Q232" s="513"/>
      <c r="R232" s="508"/>
      <c r="S232" s="507"/>
      <c r="T232" s="507"/>
      <c r="U232" s="513"/>
      <c r="V232" s="287"/>
      <c r="W232" s="507"/>
      <c r="X232" s="508"/>
      <c r="Y232" s="507"/>
      <c r="Z232" s="507"/>
      <c r="AA232" s="507"/>
      <c r="AB232" s="286"/>
      <c r="AC232" s="274"/>
      <c r="AD232" s="509"/>
      <c r="AE232" s="507"/>
      <c r="AF232" s="507"/>
      <c r="AG232" s="507"/>
      <c r="AH232" s="286"/>
      <c r="AI232" s="507"/>
      <c r="AJ232" s="509"/>
      <c r="AK232" s="507"/>
      <c r="AL232" s="507"/>
      <c r="AM232" s="507"/>
      <c r="AN232" s="286"/>
      <c r="AO232" s="507"/>
      <c r="AP232" s="509"/>
      <c r="AQ232" s="634"/>
      <c r="AR232" s="606"/>
      <c r="AS232" s="394"/>
      <c r="AT232" s="393"/>
      <c r="AU232" s="395"/>
      <c r="AV232" s="278"/>
      <c r="AW232" s="278"/>
      <c r="AX232" s="278"/>
      <c r="AY232" s="278"/>
      <c r="AZ232" s="278"/>
      <c r="BA232" s="278"/>
      <c r="BB232" s="278"/>
      <c r="BC232" s="278"/>
      <c r="BD232" s="278"/>
    </row>
    <row r="233" spans="1:56">
      <c r="A233" s="869">
        <v>65</v>
      </c>
      <c r="B233" s="870" t="s">
        <v>618</v>
      </c>
      <c r="C233" s="892" t="s">
        <v>619</v>
      </c>
      <c r="D233" s="892" t="s">
        <v>620</v>
      </c>
      <c r="E233" s="873">
        <v>17.521999999999998</v>
      </c>
      <c r="F233" s="874">
        <v>105132</v>
      </c>
      <c r="G233" s="507"/>
      <c r="H233" s="507"/>
      <c r="I233" s="511"/>
      <c r="J233" s="534"/>
      <c r="K233" s="518"/>
      <c r="L233" s="508"/>
      <c r="M233" s="865"/>
      <c r="N233" s="865"/>
      <c r="O233" s="865"/>
      <c r="P233" s="286"/>
      <c r="Q233" s="518"/>
      <c r="R233" s="866"/>
      <c r="S233" s="865"/>
      <c r="T233" s="865"/>
      <c r="U233" s="865"/>
      <c r="V233" s="286"/>
      <c r="W233" s="518"/>
      <c r="X233" s="866"/>
      <c r="Y233" s="507"/>
      <c r="Z233" s="507"/>
      <c r="AA233" s="507" t="s">
        <v>482</v>
      </c>
      <c r="AB233" s="286"/>
      <c r="AC233" s="274"/>
      <c r="AD233" s="509"/>
      <c r="AE233" s="507"/>
      <c r="AF233" s="507"/>
      <c r="AG233" s="907" t="s">
        <v>31</v>
      </c>
      <c r="AH233" s="286">
        <v>1</v>
      </c>
      <c r="AI233" s="518" t="s">
        <v>17</v>
      </c>
      <c r="AJ233" s="907">
        <v>60000</v>
      </c>
      <c r="AK233" s="507"/>
      <c r="AL233" s="507"/>
      <c r="AM233" s="507" t="s">
        <v>482</v>
      </c>
      <c r="AN233" s="286"/>
      <c r="AO233" s="507"/>
      <c r="AP233" s="509"/>
      <c r="AQ233" s="634"/>
      <c r="AR233" s="606"/>
      <c r="AS233" s="394"/>
      <c r="AT233" s="393"/>
      <c r="AU233" s="395"/>
      <c r="AV233" s="278"/>
      <c r="AW233" s="278"/>
      <c r="AX233" s="278"/>
      <c r="AY233" s="278"/>
      <c r="AZ233" s="278"/>
      <c r="BA233" s="278"/>
      <c r="BB233" s="278"/>
      <c r="BC233" s="278"/>
      <c r="BD233" s="278"/>
    </row>
    <row r="234" spans="1:56">
      <c r="A234" s="869"/>
      <c r="B234" s="870"/>
      <c r="C234" s="892"/>
      <c r="D234" s="892"/>
      <c r="E234" s="873"/>
      <c r="F234" s="874"/>
      <c r="G234" s="507"/>
      <c r="H234" s="507"/>
      <c r="I234" s="511"/>
      <c r="J234" s="534"/>
      <c r="K234" s="518"/>
      <c r="L234" s="508"/>
      <c r="M234" s="865"/>
      <c r="N234" s="865"/>
      <c r="O234" s="865"/>
      <c r="P234" s="287"/>
      <c r="Q234" s="507"/>
      <c r="R234" s="866"/>
      <c r="S234" s="865"/>
      <c r="T234" s="865"/>
      <c r="U234" s="865"/>
      <c r="V234" s="287"/>
      <c r="W234" s="507"/>
      <c r="X234" s="866"/>
      <c r="Y234" s="507"/>
      <c r="Z234" s="507"/>
      <c r="AA234" s="507"/>
      <c r="AB234" s="286"/>
      <c r="AC234" s="274"/>
      <c r="AD234" s="509"/>
      <c r="AE234" s="507"/>
      <c r="AF234" s="507"/>
      <c r="AG234" s="907"/>
      <c r="AH234" s="286">
        <f>F233/E233*AH233</f>
        <v>6000.0000000000009</v>
      </c>
      <c r="AI234" s="507" t="s">
        <v>32</v>
      </c>
      <c r="AJ234" s="907"/>
      <c r="AK234" s="507"/>
      <c r="AL234" s="507"/>
      <c r="AM234" s="507"/>
      <c r="AN234" s="286"/>
      <c r="AO234" s="507"/>
      <c r="AP234" s="509"/>
      <c r="AQ234" s="634"/>
      <c r="AR234" s="606"/>
      <c r="AS234" s="394"/>
      <c r="AT234" s="393"/>
      <c r="AU234" s="395"/>
      <c r="AV234" s="278"/>
      <c r="AW234" s="278"/>
      <c r="AX234" s="278"/>
      <c r="AY234" s="278"/>
      <c r="AZ234" s="278"/>
      <c r="BA234" s="278"/>
      <c r="BB234" s="278"/>
      <c r="BC234" s="278"/>
      <c r="BD234" s="278"/>
    </row>
    <row r="235" spans="1:56">
      <c r="A235" s="869"/>
      <c r="B235" s="870"/>
      <c r="C235" s="892"/>
      <c r="D235" s="892"/>
      <c r="E235" s="873"/>
      <c r="F235" s="874"/>
      <c r="G235" s="955"/>
      <c r="H235" s="955"/>
      <c r="I235" s="886"/>
      <c r="J235" s="138"/>
      <c r="K235" s="11"/>
      <c r="L235" s="866"/>
      <c r="M235" s="955"/>
      <c r="N235" s="955"/>
      <c r="O235" s="886"/>
      <c r="P235" s="21"/>
      <c r="Q235" s="11"/>
      <c r="R235" s="866"/>
      <c r="S235" s="955"/>
      <c r="T235" s="955"/>
      <c r="U235" s="886"/>
      <c r="V235" s="21"/>
      <c r="W235" s="11"/>
      <c r="X235" s="866"/>
      <c r="Y235" s="955"/>
      <c r="Z235" s="955"/>
      <c r="AA235" s="886"/>
      <c r="AB235" s="21"/>
      <c r="AC235" s="11"/>
      <c r="AD235" s="907"/>
      <c r="AE235" s="507"/>
      <c r="AF235" s="507"/>
      <c r="AG235" s="509"/>
      <c r="AH235" s="286"/>
      <c r="AI235" s="507"/>
      <c r="AJ235" s="509"/>
      <c r="AK235" s="507"/>
      <c r="AL235" s="507"/>
      <c r="AM235" s="507"/>
      <c r="AN235" s="286"/>
      <c r="AO235" s="507"/>
      <c r="AP235" s="509"/>
      <c r="AQ235" s="634"/>
      <c r="AR235" s="606"/>
      <c r="AS235" s="394"/>
      <c r="AT235" s="393"/>
      <c r="AU235" s="395"/>
      <c r="AV235" s="278"/>
      <c r="AW235" s="278"/>
      <c r="AX235" s="278"/>
      <c r="AY235" s="278"/>
      <c r="AZ235" s="278"/>
      <c r="BA235" s="278"/>
      <c r="BB235" s="278"/>
      <c r="BC235" s="278"/>
      <c r="BD235" s="278"/>
    </row>
    <row r="236" spans="1:56">
      <c r="A236" s="869"/>
      <c r="B236" s="870"/>
      <c r="C236" s="892"/>
      <c r="D236" s="892"/>
      <c r="E236" s="873"/>
      <c r="F236" s="874"/>
      <c r="G236" s="955"/>
      <c r="H236" s="955"/>
      <c r="I236" s="886"/>
      <c r="J236" s="534"/>
      <c r="K236" s="13"/>
      <c r="L236" s="866"/>
      <c r="M236" s="955"/>
      <c r="N236" s="955"/>
      <c r="O236" s="886"/>
      <c r="P236" s="287"/>
      <c r="Q236" s="13"/>
      <c r="R236" s="866"/>
      <c r="S236" s="955"/>
      <c r="T236" s="955"/>
      <c r="U236" s="886"/>
      <c r="V236" s="287"/>
      <c r="W236" s="13"/>
      <c r="X236" s="866"/>
      <c r="Y236" s="955"/>
      <c r="Z236" s="955"/>
      <c r="AA236" s="886"/>
      <c r="AB236" s="287"/>
      <c r="AC236" s="13"/>
      <c r="AD236" s="907"/>
      <c r="AE236" s="507"/>
      <c r="AF236" s="507"/>
      <c r="AG236" s="509"/>
      <c r="AH236" s="286"/>
      <c r="AI236" s="507"/>
      <c r="AJ236" s="509"/>
      <c r="AK236" s="507"/>
      <c r="AL236" s="507"/>
      <c r="AM236" s="507"/>
      <c r="AN236" s="286"/>
      <c r="AO236" s="507"/>
      <c r="AP236" s="509"/>
      <c r="AQ236" s="634"/>
      <c r="AR236" s="606"/>
      <c r="AS236" s="394"/>
      <c r="AT236" s="393"/>
      <c r="AU236" s="395"/>
      <c r="AV236" s="278"/>
      <c r="AW236" s="278"/>
      <c r="AX236" s="278"/>
      <c r="AY236" s="278"/>
      <c r="AZ236" s="278"/>
      <c r="BA236" s="278"/>
      <c r="BB236" s="278"/>
      <c r="BC236" s="278"/>
      <c r="BD236" s="278"/>
    </row>
    <row r="237" spans="1:56" ht="27" customHeight="1">
      <c r="A237" s="869">
        <v>66</v>
      </c>
      <c r="B237" s="870">
        <v>805425</v>
      </c>
      <c r="C237" s="891" t="s">
        <v>621</v>
      </c>
      <c r="D237" s="892" t="s">
        <v>622</v>
      </c>
      <c r="E237" s="873">
        <v>27.84</v>
      </c>
      <c r="F237" s="874">
        <v>194880</v>
      </c>
      <c r="G237" s="893" t="s">
        <v>3504</v>
      </c>
      <c r="H237" s="865" t="s">
        <v>623</v>
      </c>
      <c r="I237" s="893" t="s">
        <v>31</v>
      </c>
      <c r="J237" s="534"/>
      <c r="K237" s="518" t="s">
        <v>17</v>
      </c>
      <c r="L237" s="866">
        <v>50403.750240000001</v>
      </c>
      <c r="M237" s="893" t="s">
        <v>3504</v>
      </c>
      <c r="N237" s="865" t="s">
        <v>623</v>
      </c>
      <c r="O237" s="865" t="s">
        <v>31</v>
      </c>
      <c r="P237" s="286">
        <v>10.7</v>
      </c>
      <c r="Q237" s="518" t="s">
        <v>17</v>
      </c>
      <c r="R237" s="866">
        <v>190394</v>
      </c>
      <c r="S237" s="865"/>
      <c r="T237" s="865"/>
      <c r="U237" s="865"/>
      <c r="V237" s="286"/>
      <c r="W237" s="518"/>
      <c r="X237" s="866"/>
      <c r="Y237" s="865" t="s">
        <v>623</v>
      </c>
      <c r="Z237" s="865" t="s">
        <v>2982</v>
      </c>
      <c r="AA237" s="865" t="s">
        <v>31</v>
      </c>
      <c r="AB237" s="286">
        <v>2.8</v>
      </c>
      <c r="AC237" s="518" t="s">
        <v>17</v>
      </c>
      <c r="AD237" s="907">
        <v>132600</v>
      </c>
      <c r="AE237" s="865"/>
      <c r="AF237" s="865"/>
      <c r="AG237" s="865"/>
      <c r="AH237" s="286"/>
      <c r="AI237" s="518"/>
      <c r="AJ237" s="907"/>
      <c r="AK237" s="507"/>
      <c r="AL237" s="507"/>
      <c r="AM237" s="507" t="s">
        <v>482</v>
      </c>
      <c r="AN237" s="286"/>
      <c r="AO237" s="507"/>
      <c r="AP237" s="509"/>
      <c r="AQ237" s="634"/>
      <c r="AR237" s="606"/>
      <c r="AS237" s="394"/>
      <c r="AT237" s="393"/>
      <c r="AU237" s="395"/>
      <c r="AV237" s="278"/>
      <c r="AW237" s="278"/>
      <c r="AX237" s="278"/>
      <c r="AY237" s="278"/>
      <c r="AZ237" s="278"/>
      <c r="BA237" s="278"/>
      <c r="BB237" s="278"/>
      <c r="BC237" s="278"/>
      <c r="BD237" s="278"/>
    </row>
    <row r="238" spans="1:56" ht="27" customHeight="1">
      <c r="A238" s="869"/>
      <c r="B238" s="870"/>
      <c r="C238" s="891"/>
      <c r="D238" s="892"/>
      <c r="E238" s="873"/>
      <c r="F238" s="874"/>
      <c r="G238" s="865"/>
      <c r="H238" s="865"/>
      <c r="I238" s="894"/>
      <c r="J238" s="534"/>
      <c r="K238" s="507" t="s">
        <v>32</v>
      </c>
      <c r="L238" s="866"/>
      <c r="M238" s="865"/>
      <c r="N238" s="865"/>
      <c r="O238" s="975"/>
      <c r="P238" s="287">
        <f>F237/E237*P237</f>
        <v>74900</v>
      </c>
      <c r="Q238" s="507" t="s">
        <v>32</v>
      </c>
      <c r="R238" s="866"/>
      <c r="S238" s="865"/>
      <c r="T238" s="865"/>
      <c r="U238" s="865"/>
      <c r="V238" s="287"/>
      <c r="W238" s="507"/>
      <c r="X238" s="866"/>
      <c r="Y238" s="865"/>
      <c r="Z238" s="865"/>
      <c r="AA238" s="975"/>
      <c r="AB238" s="287">
        <f>F237/E237*AB237</f>
        <v>19600</v>
      </c>
      <c r="AC238" s="507" t="s">
        <v>32</v>
      </c>
      <c r="AD238" s="907"/>
      <c r="AE238" s="865"/>
      <c r="AF238" s="865"/>
      <c r="AG238" s="865"/>
      <c r="AH238" s="286"/>
      <c r="AI238" s="507"/>
      <c r="AJ238" s="907"/>
      <c r="AK238" s="507"/>
      <c r="AL238" s="507"/>
      <c r="AM238" s="507"/>
      <c r="AN238" s="286"/>
      <c r="AO238" s="507"/>
      <c r="AP238" s="509"/>
      <c r="AQ238" s="634"/>
      <c r="AR238" s="606"/>
      <c r="AS238" s="394"/>
      <c r="AT238" s="393"/>
      <c r="AU238" s="395"/>
      <c r="AV238" s="278"/>
      <c r="AW238" s="278"/>
      <c r="AX238" s="278"/>
      <c r="AY238" s="278"/>
      <c r="AZ238" s="278"/>
      <c r="BA238" s="278"/>
      <c r="BB238" s="278"/>
      <c r="BC238" s="278"/>
      <c r="BD238" s="278"/>
    </row>
    <row r="239" spans="1:56" ht="27" customHeight="1">
      <c r="A239" s="869"/>
      <c r="B239" s="870"/>
      <c r="C239" s="891"/>
      <c r="D239" s="892"/>
      <c r="E239" s="873"/>
      <c r="F239" s="874"/>
      <c r="G239" s="893" t="s">
        <v>2584</v>
      </c>
      <c r="H239" s="865" t="s">
        <v>624</v>
      </c>
      <c r="I239" s="893" t="s">
        <v>114</v>
      </c>
      <c r="J239" s="534"/>
      <c r="K239" s="518" t="s">
        <v>17</v>
      </c>
      <c r="L239" s="866">
        <v>29600.041799999999</v>
      </c>
      <c r="M239" s="893" t="s">
        <v>2584</v>
      </c>
      <c r="N239" s="865" t="s">
        <v>624</v>
      </c>
      <c r="O239" s="893" t="s">
        <v>114</v>
      </c>
      <c r="P239" s="287">
        <v>10</v>
      </c>
      <c r="Q239" s="518" t="s">
        <v>17</v>
      </c>
      <c r="R239" s="866">
        <v>56725</v>
      </c>
      <c r="S239" s="515"/>
      <c r="T239" s="515"/>
      <c r="U239" s="516"/>
      <c r="V239" s="517"/>
      <c r="W239" s="518"/>
      <c r="X239" s="336"/>
      <c r="Y239" s="507"/>
      <c r="Z239" s="507"/>
      <c r="AA239" s="513"/>
      <c r="AB239" s="287"/>
      <c r="AC239" s="507"/>
      <c r="AD239" s="509"/>
      <c r="AE239" s="507"/>
      <c r="AF239" s="507"/>
      <c r="AG239" s="507"/>
      <c r="AH239" s="286"/>
      <c r="AI239" s="507"/>
      <c r="AJ239" s="509"/>
      <c r="AK239" s="507"/>
      <c r="AL239" s="507"/>
      <c r="AM239" s="507"/>
      <c r="AN239" s="286"/>
      <c r="AO239" s="507"/>
      <c r="AP239" s="509"/>
      <c r="AQ239" s="634"/>
      <c r="AR239" s="606"/>
      <c r="AS239" s="394"/>
      <c r="AT239" s="393"/>
      <c r="AU239" s="395"/>
      <c r="AV239" s="278"/>
      <c r="AW239" s="278"/>
      <c r="AX239" s="278"/>
      <c r="AY239" s="278"/>
      <c r="AZ239" s="278"/>
      <c r="BA239" s="278"/>
      <c r="BB239" s="278"/>
      <c r="BC239" s="278"/>
      <c r="BD239" s="278"/>
    </row>
    <row r="240" spans="1:56" ht="27" customHeight="1">
      <c r="A240" s="869"/>
      <c r="B240" s="870"/>
      <c r="C240" s="891"/>
      <c r="D240" s="892"/>
      <c r="E240" s="873"/>
      <c r="F240" s="874"/>
      <c r="G240" s="865"/>
      <c r="H240" s="865"/>
      <c r="I240" s="916"/>
      <c r="J240" s="534">
        <f>J239*F237/E237</f>
        <v>0</v>
      </c>
      <c r="K240" s="507" t="s">
        <v>32</v>
      </c>
      <c r="L240" s="866"/>
      <c r="M240" s="865"/>
      <c r="N240" s="865"/>
      <c r="O240" s="916"/>
      <c r="P240" s="287">
        <f>P239*F237/E237</f>
        <v>70000</v>
      </c>
      <c r="Q240" s="507" t="s">
        <v>32</v>
      </c>
      <c r="R240" s="866"/>
      <c r="S240" s="507"/>
      <c r="T240" s="507"/>
      <c r="U240" s="507"/>
      <c r="V240" s="287"/>
      <c r="W240" s="507"/>
      <c r="X240" s="508"/>
      <c r="Y240" s="507"/>
      <c r="Z240" s="507"/>
      <c r="AA240" s="513"/>
      <c r="AB240" s="287"/>
      <c r="AC240" s="507"/>
      <c r="AD240" s="509"/>
      <c r="AE240" s="507"/>
      <c r="AF240" s="507"/>
      <c r="AG240" s="507"/>
      <c r="AH240" s="286"/>
      <c r="AI240" s="507"/>
      <c r="AJ240" s="509"/>
      <c r="AK240" s="507"/>
      <c r="AL240" s="507"/>
      <c r="AM240" s="507"/>
      <c r="AN240" s="286"/>
      <c r="AO240" s="507"/>
      <c r="AP240" s="509"/>
      <c r="AQ240" s="634"/>
      <c r="AR240" s="606"/>
      <c r="AS240" s="394"/>
      <c r="AT240" s="393"/>
      <c r="AU240" s="395"/>
      <c r="AV240" s="278"/>
      <c r="AW240" s="278"/>
      <c r="AX240" s="278"/>
      <c r="AY240" s="278"/>
      <c r="AZ240" s="278"/>
      <c r="BA240" s="278"/>
      <c r="BB240" s="278"/>
      <c r="BC240" s="278"/>
      <c r="BD240" s="278"/>
    </row>
    <row r="241" spans="1:56" ht="29.25" customHeight="1">
      <c r="A241" s="869">
        <v>67</v>
      </c>
      <c r="B241" s="870" t="s">
        <v>625</v>
      </c>
      <c r="C241" s="891" t="s">
        <v>626</v>
      </c>
      <c r="D241" s="892" t="s">
        <v>627</v>
      </c>
      <c r="E241" s="873">
        <v>59.9</v>
      </c>
      <c r="F241" s="874">
        <v>395340</v>
      </c>
      <c r="G241" s="507"/>
      <c r="H241" s="507"/>
      <c r="I241" s="511"/>
      <c r="J241" s="534"/>
      <c r="K241" s="518"/>
      <c r="L241" s="508"/>
      <c r="M241" s="507"/>
      <c r="N241" s="507"/>
      <c r="O241" s="515"/>
      <c r="P241" s="287"/>
      <c r="Q241" s="513"/>
      <c r="R241" s="336"/>
      <c r="S241" s="507"/>
      <c r="T241" s="507"/>
      <c r="U241" s="507" t="s">
        <v>482</v>
      </c>
      <c r="V241" s="287"/>
      <c r="W241" s="274"/>
      <c r="X241" s="508"/>
      <c r="Y241" s="507"/>
      <c r="Z241" s="507"/>
      <c r="AA241" s="507"/>
      <c r="AB241" s="286"/>
      <c r="AC241" s="274"/>
      <c r="AD241" s="509"/>
      <c r="AE241" s="865"/>
      <c r="AF241" s="865"/>
      <c r="AG241" s="907" t="s">
        <v>31</v>
      </c>
      <c r="AH241" s="286">
        <v>1</v>
      </c>
      <c r="AI241" s="518" t="s">
        <v>17</v>
      </c>
      <c r="AJ241" s="907">
        <v>60000</v>
      </c>
      <c r="AK241" s="507"/>
      <c r="AL241" s="507"/>
      <c r="AM241" s="507"/>
      <c r="AN241" s="286"/>
      <c r="AO241" s="507"/>
      <c r="AP241" s="509"/>
      <c r="AQ241" s="634"/>
      <c r="AR241" s="606"/>
      <c r="AS241" s="394"/>
      <c r="AT241" s="393"/>
      <c r="AU241" s="395"/>
      <c r="AV241" s="278"/>
      <c r="AW241" s="278"/>
      <c r="AX241" s="278"/>
      <c r="AY241" s="278"/>
      <c r="AZ241" s="278"/>
      <c r="BA241" s="278"/>
      <c r="BB241" s="278"/>
      <c r="BC241" s="278"/>
      <c r="BD241" s="278"/>
    </row>
    <row r="242" spans="1:56" ht="29.25" customHeight="1">
      <c r="A242" s="869"/>
      <c r="B242" s="870"/>
      <c r="C242" s="891"/>
      <c r="D242" s="892"/>
      <c r="E242" s="873"/>
      <c r="F242" s="874"/>
      <c r="G242" s="507"/>
      <c r="H242" s="507"/>
      <c r="I242" s="511"/>
      <c r="J242" s="534"/>
      <c r="K242" s="518"/>
      <c r="L242" s="508"/>
      <c r="M242" s="507"/>
      <c r="N242" s="507"/>
      <c r="O242" s="515"/>
      <c r="P242" s="287"/>
      <c r="Q242" s="513"/>
      <c r="R242" s="336"/>
      <c r="S242" s="507"/>
      <c r="T242" s="507"/>
      <c r="U242" s="507"/>
      <c r="V242" s="287"/>
      <c r="W242" s="274"/>
      <c r="X242" s="508"/>
      <c r="Y242" s="507"/>
      <c r="Z242" s="507"/>
      <c r="AA242" s="507"/>
      <c r="AB242" s="286"/>
      <c r="AC242" s="274"/>
      <c r="AD242" s="509"/>
      <c r="AE242" s="865"/>
      <c r="AF242" s="865"/>
      <c r="AG242" s="907"/>
      <c r="AH242" s="286">
        <f>F241/E241*AH241</f>
        <v>6600</v>
      </c>
      <c r="AI242" s="507" t="s">
        <v>32</v>
      </c>
      <c r="AJ242" s="907"/>
      <c r="AK242" s="507"/>
      <c r="AL242" s="507"/>
      <c r="AM242" s="507"/>
      <c r="AN242" s="286"/>
      <c r="AO242" s="507"/>
      <c r="AP242" s="509"/>
      <c r="AQ242" s="634"/>
      <c r="AR242" s="606"/>
      <c r="AS242" s="394"/>
      <c r="AT242" s="393"/>
      <c r="AU242" s="395"/>
      <c r="AV242" s="278"/>
      <c r="AW242" s="278"/>
      <c r="AX242" s="278"/>
      <c r="AY242" s="278"/>
      <c r="AZ242" s="278"/>
      <c r="BA242" s="278"/>
      <c r="BB242" s="278"/>
      <c r="BC242" s="278"/>
      <c r="BD242" s="278"/>
    </row>
    <row r="243" spans="1:56">
      <c r="A243" s="869">
        <v>68</v>
      </c>
      <c r="B243" s="870" t="s">
        <v>628</v>
      </c>
      <c r="C243" s="891" t="s">
        <v>629</v>
      </c>
      <c r="D243" s="892" t="s">
        <v>630</v>
      </c>
      <c r="E243" s="873">
        <v>22.71</v>
      </c>
      <c r="F243" s="874">
        <v>136260</v>
      </c>
      <c r="G243" s="865" t="s">
        <v>631</v>
      </c>
      <c r="H243" s="865" t="s">
        <v>632</v>
      </c>
      <c r="I243" s="893" t="s">
        <v>114</v>
      </c>
      <c r="J243" s="274">
        <v>4.03</v>
      </c>
      <c r="K243" s="518" t="s">
        <v>17</v>
      </c>
      <c r="L243" s="866">
        <v>47357.642</v>
      </c>
      <c r="M243" s="507"/>
      <c r="N243" s="507"/>
      <c r="O243" s="507"/>
      <c r="P243" s="287"/>
      <c r="Q243" s="513"/>
      <c r="R243" s="508"/>
      <c r="S243" s="507"/>
      <c r="T243" s="507"/>
      <c r="U243" s="507" t="s">
        <v>482</v>
      </c>
      <c r="V243" s="287"/>
      <c r="W243" s="274"/>
      <c r="X243" s="508"/>
      <c r="Y243" s="507"/>
      <c r="Z243" s="507"/>
      <c r="AA243" s="507" t="s">
        <v>482</v>
      </c>
      <c r="AB243" s="286"/>
      <c r="AC243" s="274"/>
      <c r="AD243" s="509"/>
      <c r="AE243" s="865"/>
      <c r="AF243" s="865"/>
      <c r="AG243" s="513"/>
      <c r="AH243" s="288"/>
      <c r="AI243" s="513"/>
      <c r="AJ243" s="626"/>
      <c r="AK243" s="507"/>
      <c r="AL243" s="507"/>
      <c r="AM243" s="907"/>
      <c r="AN243" s="286"/>
      <c r="AO243" s="518"/>
      <c r="AP243" s="907"/>
      <c r="AQ243" s="634"/>
      <c r="AR243" s="606"/>
      <c r="AS243" s="394"/>
      <c r="AT243" s="393"/>
      <c r="AU243" s="395"/>
      <c r="AV243" s="278"/>
      <c r="AW243" s="278"/>
      <c r="AX243" s="278"/>
      <c r="AY243" s="278"/>
      <c r="AZ243" s="278"/>
      <c r="BA243" s="278"/>
      <c r="BB243" s="278"/>
      <c r="BC243" s="278"/>
      <c r="BD243" s="278"/>
    </row>
    <row r="244" spans="1:56">
      <c r="A244" s="869"/>
      <c r="B244" s="870"/>
      <c r="C244" s="891"/>
      <c r="D244" s="892"/>
      <c r="E244" s="873"/>
      <c r="F244" s="874"/>
      <c r="G244" s="865"/>
      <c r="H244" s="865"/>
      <c r="I244" s="916"/>
      <c r="J244" s="534">
        <v>24436</v>
      </c>
      <c r="K244" s="507" t="s">
        <v>32</v>
      </c>
      <c r="L244" s="866"/>
      <c r="M244" s="507"/>
      <c r="N244" s="507"/>
      <c r="O244" s="507"/>
      <c r="P244" s="287"/>
      <c r="Q244" s="513"/>
      <c r="R244" s="508"/>
      <c r="S244" s="507"/>
      <c r="T244" s="507"/>
      <c r="U244" s="507"/>
      <c r="V244" s="287"/>
      <c r="W244" s="274"/>
      <c r="X244" s="508"/>
      <c r="Y244" s="507"/>
      <c r="Z244" s="507"/>
      <c r="AA244" s="507"/>
      <c r="AB244" s="286"/>
      <c r="AC244" s="274"/>
      <c r="AD244" s="509"/>
      <c r="AE244" s="865"/>
      <c r="AF244" s="865"/>
      <c r="AG244" s="513"/>
      <c r="AH244" s="288"/>
      <c r="AI244" s="513"/>
      <c r="AJ244" s="626"/>
      <c r="AK244" s="507"/>
      <c r="AL244" s="507"/>
      <c r="AM244" s="907"/>
      <c r="AN244" s="286"/>
      <c r="AO244" s="507"/>
      <c r="AP244" s="907"/>
      <c r="AQ244" s="634"/>
      <c r="AR244" s="606"/>
      <c r="AS244" s="394"/>
      <c r="AT244" s="393"/>
      <c r="AU244" s="395"/>
      <c r="AV244" s="278"/>
      <c r="AW244" s="278"/>
      <c r="AX244" s="278"/>
      <c r="AY244" s="278"/>
      <c r="AZ244" s="278"/>
      <c r="BA244" s="278"/>
      <c r="BB244" s="278"/>
      <c r="BC244" s="278"/>
      <c r="BD244" s="278"/>
    </row>
    <row r="245" spans="1:56" ht="39">
      <c r="A245" s="869"/>
      <c r="B245" s="870"/>
      <c r="C245" s="891"/>
      <c r="D245" s="892"/>
      <c r="E245" s="873"/>
      <c r="F245" s="874"/>
      <c r="G245" s="865"/>
      <c r="H245" s="865"/>
      <c r="I245" s="512" t="s">
        <v>2682</v>
      </c>
      <c r="J245" s="534">
        <v>1</v>
      </c>
      <c r="K245" s="507" t="s">
        <v>118</v>
      </c>
      <c r="L245" s="336">
        <v>20.149999999999999</v>
      </c>
      <c r="M245" s="507"/>
      <c r="N245" s="507"/>
      <c r="O245" s="507"/>
      <c r="P245" s="287"/>
      <c r="Q245" s="513"/>
      <c r="R245" s="508"/>
      <c r="S245" s="507"/>
      <c r="T245" s="507"/>
      <c r="U245" s="507"/>
      <c r="V245" s="287"/>
      <c r="W245" s="274"/>
      <c r="X245" s="508"/>
      <c r="Y245" s="507"/>
      <c r="Z245" s="507"/>
      <c r="AA245" s="507"/>
      <c r="AB245" s="286"/>
      <c r="AC245" s="274"/>
      <c r="AD245" s="509"/>
      <c r="AE245" s="507"/>
      <c r="AF245" s="507"/>
      <c r="AG245" s="513"/>
      <c r="AH245" s="288"/>
      <c r="AI245" s="513"/>
      <c r="AJ245" s="626"/>
      <c r="AK245" s="507"/>
      <c r="AL245" s="507"/>
      <c r="AM245" s="509"/>
      <c r="AN245" s="286"/>
      <c r="AO245" s="507"/>
      <c r="AP245" s="509"/>
      <c r="AQ245" s="634"/>
      <c r="AR245" s="606"/>
      <c r="AS245" s="394"/>
      <c r="AT245" s="393"/>
      <c r="AU245" s="395"/>
      <c r="AV245" s="278"/>
      <c r="AW245" s="278"/>
      <c r="AX245" s="278"/>
      <c r="AY245" s="278"/>
      <c r="AZ245" s="278"/>
      <c r="BA245" s="278"/>
      <c r="BB245" s="278"/>
      <c r="BC245" s="278"/>
      <c r="BD245" s="278"/>
    </row>
    <row r="246" spans="1:56">
      <c r="A246" s="869">
        <v>69</v>
      </c>
      <c r="B246" s="870" t="s">
        <v>633</v>
      </c>
      <c r="C246" s="891" t="s">
        <v>634</v>
      </c>
      <c r="D246" s="892" t="s">
        <v>635</v>
      </c>
      <c r="E246" s="873">
        <v>39.97</v>
      </c>
      <c r="F246" s="874">
        <v>263802</v>
      </c>
      <c r="G246" s="893" t="s">
        <v>60</v>
      </c>
      <c r="H246" s="865" t="s">
        <v>489</v>
      </c>
      <c r="I246" s="893" t="s">
        <v>114</v>
      </c>
      <c r="J246" s="274">
        <v>10</v>
      </c>
      <c r="K246" s="518" t="s">
        <v>17</v>
      </c>
      <c r="L246" s="866">
        <v>66158.285999999993</v>
      </c>
      <c r="M246" s="514"/>
      <c r="N246" s="14"/>
      <c r="O246" s="14"/>
      <c r="P246" s="289"/>
      <c r="Q246" s="14"/>
      <c r="R246" s="614"/>
      <c r="S246" s="865" t="s">
        <v>636</v>
      </c>
      <c r="T246" s="865" t="s">
        <v>637</v>
      </c>
      <c r="U246" s="893" t="s">
        <v>114</v>
      </c>
      <c r="V246" s="286">
        <v>15</v>
      </c>
      <c r="W246" s="518" t="s">
        <v>17</v>
      </c>
      <c r="X246" s="866">
        <f>195000-10000</f>
        <v>185000</v>
      </c>
      <c r="Y246" s="865" t="s">
        <v>637</v>
      </c>
      <c r="Z246" s="865" t="s">
        <v>2983</v>
      </c>
      <c r="AA246" s="865" t="s">
        <v>31</v>
      </c>
      <c r="AB246" s="286">
        <v>2.8</v>
      </c>
      <c r="AC246" s="518" t="s">
        <v>17</v>
      </c>
      <c r="AD246" s="907">
        <v>115300</v>
      </c>
      <c r="AE246" s="507"/>
      <c r="AF246" s="507"/>
      <c r="AG246" s="515"/>
      <c r="AH246" s="286"/>
      <c r="AI246" s="507"/>
      <c r="AJ246" s="623"/>
      <c r="AK246" s="507"/>
      <c r="AL246" s="507"/>
      <c r="AM246" s="507" t="s">
        <v>482</v>
      </c>
      <c r="AN246" s="286"/>
      <c r="AO246" s="507"/>
      <c r="AP246" s="509"/>
      <c r="AQ246" s="634"/>
      <c r="AR246" s="606"/>
      <c r="AS246" s="394"/>
      <c r="AT246" s="393"/>
      <c r="AU246" s="395"/>
      <c r="AV246" s="278"/>
      <c r="AW246" s="278"/>
      <c r="AX246" s="278"/>
      <c r="AY246" s="278"/>
      <c r="AZ246" s="278"/>
      <c r="BA246" s="278"/>
      <c r="BB246" s="278"/>
      <c r="BC246" s="278"/>
      <c r="BD246" s="278"/>
    </row>
    <row r="247" spans="1:56">
      <c r="A247" s="869"/>
      <c r="B247" s="870"/>
      <c r="C247" s="891"/>
      <c r="D247" s="892"/>
      <c r="E247" s="873"/>
      <c r="F247" s="874"/>
      <c r="G247" s="865"/>
      <c r="H247" s="865"/>
      <c r="I247" s="916"/>
      <c r="J247" s="136">
        <v>60179</v>
      </c>
      <c r="K247" s="507" t="s">
        <v>32</v>
      </c>
      <c r="L247" s="866"/>
      <c r="M247" s="514"/>
      <c r="N247" s="14"/>
      <c r="O247" s="14"/>
      <c r="P247" s="289"/>
      <c r="Q247" s="14"/>
      <c r="R247" s="614"/>
      <c r="S247" s="865"/>
      <c r="T247" s="865"/>
      <c r="U247" s="916"/>
      <c r="V247" s="521">
        <f>F246/E246*V246</f>
        <v>99000</v>
      </c>
      <c r="W247" s="507" t="s">
        <v>32</v>
      </c>
      <c r="X247" s="866"/>
      <c r="Y247" s="865"/>
      <c r="Z247" s="865"/>
      <c r="AA247" s="865"/>
      <c r="AB247" s="521">
        <f>F246/E246*AB246</f>
        <v>18480</v>
      </c>
      <c r="AC247" s="507" t="s">
        <v>32</v>
      </c>
      <c r="AD247" s="907"/>
      <c r="AE247" s="507"/>
      <c r="AF247" s="507"/>
      <c r="AG247" s="515"/>
      <c r="AH247" s="517"/>
      <c r="AI247" s="515"/>
      <c r="AJ247" s="623"/>
      <c r="AK247" s="507"/>
      <c r="AL247" s="507"/>
      <c r="AM247" s="507"/>
      <c r="AN247" s="286"/>
      <c r="AO247" s="507"/>
      <c r="AP247" s="509"/>
      <c r="AQ247" s="634"/>
      <c r="AR247" s="606"/>
      <c r="AS247" s="394"/>
      <c r="AT247" s="393"/>
      <c r="AU247" s="395"/>
      <c r="AV247" s="278"/>
      <c r="AW247" s="278"/>
      <c r="AX247" s="278"/>
      <c r="AY247" s="278"/>
      <c r="AZ247" s="278"/>
      <c r="BA247" s="278"/>
      <c r="BB247" s="278"/>
      <c r="BC247" s="278"/>
      <c r="BD247" s="278"/>
    </row>
    <row r="248" spans="1:56">
      <c r="A248" s="869"/>
      <c r="B248" s="870"/>
      <c r="C248" s="891"/>
      <c r="D248" s="892"/>
      <c r="E248" s="873"/>
      <c r="F248" s="874"/>
      <c r="G248" s="865" t="s">
        <v>489</v>
      </c>
      <c r="H248" s="865" t="s">
        <v>636</v>
      </c>
      <c r="I248" s="893" t="s">
        <v>114</v>
      </c>
      <c r="J248" s="274">
        <v>5</v>
      </c>
      <c r="K248" s="518" t="s">
        <v>17</v>
      </c>
      <c r="L248" s="866">
        <f>67975.405</f>
        <v>67975.404999999999</v>
      </c>
      <c r="M248" s="507"/>
      <c r="N248" s="507"/>
      <c r="O248" s="513"/>
      <c r="P248" s="521"/>
      <c r="Q248" s="507"/>
      <c r="R248" s="508"/>
      <c r="S248" s="908"/>
      <c r="T248" s="908"/>
      <c r="U248" s="914"/>
      <c r="V248" s="976"/>
      <c r="W248" s="977"/>
      <c r="X248" s="909"/>
      <c r="Y248" s="507"/>
      <c r="Z248" s="507"/>
      <c r="AA248" s="513"/>
      <c r="AB248" s="521"/>
      <c r="AC248" s="507"/>
      <c r="AD248" s="509"/>
      <c r="AE248" s="507"/>
      <c r="AF248" s="507"/>
      <c r="AG248" s="515"/>
      <c r="AH248" s="517"/>
      <c r="AI248" s="515"/>
      <c r="AJ248" s="623"/>
      <c r="AK248" s="507"/>
      <c r="AL248" s="507"/>
      <c r="AM248" s="507"/>
      <c r="AN248" s="286"/>
      <c r="AO248" s="507"/>
      <c r="AP248" s="509"/>
      <c r="AQ248" s="634"/>
      <c r="AR248" s="606"/>
      <c r="AS248" s="394"/>
      <c r="AT248" s="393"/>
      <c r="AU248" s="395"/>
      <c r="AV248" s="278"/>
      <c r="AW248" s="278"/>
      <c r="AX248" s="278"/>
      <c r="AY248" s="278"/>
      <c r="AZ248" s="278"/>
      <c r="BA248" s="278"/>
      <c r="BB248" s="278"/>
      <c r="BC248" s="278"/>
      <c r="BD248" s="278"/>
    </row>
    <row r="249" spans="1:56">
      <c r="A249" s="869"/>
      <c r="B249" s="870"/>
      <c r="C249" s="891"/>
      <c r="D249" s="892"/>
      <c r="E249" s="873"/>
      <c r="F249" s="874"/>
      <c r="G249" s="865"/>
      <c r="H249" s="865"/>
      <c r="I249" s="916"/>
      <c r="J249" s="136">
        <v>33096</v>
      </c>
      <c r="K249" s="507" t="s">
        <v>32</v>
      </c>
      <c r="L249" s="866"/>
      <c r="M249" s="507"/>
      <c r="N249" s="507"/>
      <c r="O249" s="513"/>
      <c r="P249" s="521"/>
      <c r="Q249" s="507"/>
      <c r="R249" s="508"/>
      <c r="S249" s="908"/>
      <c r="T249" s="908"/>
      <c r="U249" s="916"/>
      <c r="V249" s="976"/>
      <c r="W249" s="977"/>
      <c r="X249" s="909"/>
      <c r="Y249" s="507"/>
      <c r="Z249" s="507"/>
      <c r="AA249" s="513"/>
      <c r="AB249" s="521"/>
      <c r="AC249" s="507"/>
      <c r="AD249" s="509"/>
      <c r="AE249" s="507"/>
      <c r="AF249" s="507"/>
      <c r="AG249" s="515"/>
      <c r="AH249" s="517"/>
      <c r="AI249" s="515"/>
      <c r="AJ249" s="623"/>
      <c r="AK249" s="507"/>
      <c r="AL249" s="507"/>
      <c r="AM249" s="507"/>
      <c r="AN249" s="286"/>
      <c r="AO249" s="507"/>
      <c r="AP249" s="509"/>
      <c r="AQ249" s="634"/>
      <c r="AR249" s="606"/>
      <c r="AS249" s="394"/>
      <c r="AT249" s="393"/>
      <c r="AU249" s="395"/>
      <c r="AV249" s="278"/>
      <c r="AW249" s="278"/>
      <c r="AX249" s="278"/>
      <c r="AY249" s="278"/>
      <c r="AZ249" s="278"/>
      <c r="BA249" s="278"/>
      <c r="BB249" s="278"/>
      <c r="BC249" s="278"/>
      <c r="BD249" s="278"/>
    </row>
    <row r="250" spans="1:56" ht="39">
      <c r="A250" s="869"/>
      <c r="B250" s="870"/>
      <c r="C250" s="891"/>
      <c r="D250" s="892"/>
      <c r="E250" s="873"/>
      <c r="F250" s="874"/>
      <c r="G250" s="865"/>
      <c r="H250" s="865"/>
      <c r="I250" s="512" t="s">
        <v>2682</v>
      </c>
      <c r="J250" s="534">
        <v>1</v>
      </c>
      <c r="K250" s="507" t="s">
        <v>118</v>
      </c>
      <c r="L250" s="336">
        <v>25</v>
      </c>
      <c r="M250" s="507"/>
      <c r="N250" s="507"/>
      <c r="O250" s="513"/>
      <c r="P250" s="521"/>
      <c r="Q250" s="507"/>
      <c r="R250" s="508"/>
      <c r="S250" s="515"/>
      <c r="T250" s="515"/>
      <c r="U250" s="520"/>
      <c r="V250" s="517"/>
      <c r="W250" s="518"/>
      <c r="X250" s="336"/>
      <c r="Y250" s="507"/>
      <c r="Z250" s="507"/>
      <c r="AA250" s="513"/>
      <c r="AB250" s="521"/>
      <c r="AC250" s="507"/>
      <c r="AD250" s="509"/>
      <c r="AE250" s="507"/>
      <c r="AF250" s="507"/>
      <c r="AG250" s="515"/>
      <c r="AH250" s="517"/>
      <c r="AI250" s="515"/>
      <c r="AJ250" s="623"/>
      <c r="AK250" s="507"/>
      <c r="AL250" s="507"/>
      <c r="AM250" s="507"/>
      <c r="AN250" s="286"/>
      <c r="AO250" s="507"/>
      <c r="AP250" s="509"/>
      <c r="AQ250" s="634"/>
      <c r="AR250" s="606"/>
      <c r="AS250" s="394"/>
      <c r="AT250" s="393"/>
      <c r="AU250" s="395"/>
      <c r="AV250" s="278"/>
      <c r="AW250" s="278"/>
      <c r="AX250" s="278"/>
      <c r="AY250" s="278"/>
      <c r="AZ250" s="278"/>
      <c r="BA250" s="278"/>
      <c r="BB250" s="278"/>
      <c r="BC250" s="278"/>
      <c r="BD250" s="278"/>
    </row>
    <row r="251" spans="1:56">
      <c r="A251" s="869">
        <v>70</v>
      </c>
      <c r="B251" s="870" t="s">
        <v>638</v>
      </c>
      <c r="C251" s="892" t="s">
        <v>639</v>
      </c>
      <c r="D251" s="892" t="s">
        <v>640</v>
      </c>
      <c r="E251" s="873">
        <v>16.088999999999999</v>
      </c>
      <c r="F251" s="874">
        <v>110853.20999999998</v>
      </c>
      <c r="G251" s="865" t="s">
        <v>60</v>
      </c>
      <c r="H251" s="865" t="s">
        <v>107</v>
      </c>
      <c r="I251" s="893" t="s">
        <v>114</v>
      </c>
      <c r="J251" s="274">
        <v>4</v>
      </c>
      <c r="K251" s="518" t="s">
        <v>17</v>
      </c>
      <c r="L251" s="866">
        <f>49030.97</f>
        <v>49030.97</v>
      </c>
      <c r="M251" s="865"/>
      <c r="N251" s="865"/>
      <c r="O251" s="865"/>
      <c r="P251" s="286"/>
      <c r="Q251" s="518"/>
      <c r="R251" s="866"/>
      <c r="S251" s="865"/>
      <c r="T251" s="865"/>
      <c r="U251" s="865"/>
      <c r="V251" s="286"/>
      <c r="W251" s="518"/>
      <c r="X251" s="866"/>
      <c r="Y251" s="865"/>
      <c r="Z251" s="865"/>
      <c r="AA251" s="865"/>
      <c r="AB251" s="286"/>
      <c r="AC251" s="518"/>
      <c r="AD251" s="907"/>
      <c r="AE251" s="507"/>
      <c r="AF251" s="507"/>
      <c r="AG251" s="507" t="s">
        <v>482</v>
      </c>
      <c r="AH251" s="517"/>
      <c r="AI251" s="515"/>
      <c r="AJ251" s="509"/>
      <c r="AK251" s="507"/>
      <c r="AL251" s="507"/>
      <c r="AM251" s="507" t="s">
        <v>482</v>
      </c>
      <c r="AN251" s="286"/>
      <c r="AO251" s="507"/>
      <c r="AP251" s="509"/>
      <c r="AQ251" s="634"/>
      <c r="AR251" s="606"/>
      <c r="AS251" s="394"/>
      <c r="AT251" s="393"/>
      <c r="AU251" s="395"/>
      <c r="AV251" s="278"/>
      <c r="AW251" s="278"/>
      <c r="AX251" s="278"/>
      <c r="AY251" s="278"/>
      <c r="AZ251" s="278"/>
      <c r="BA251" s="278"/>
      <c r="BB251" s="278"/>
      <c r="BC251" s="278"/>
      <c r="BD251" s="278"/>
    </row>
    <row r="252" spans="1:56">
      <c r="A252" s="869"/>
      <c r="B252" s="870"/>
      <c r="C252" s="892"/>
      <c r="D252" s="892"/>
      <c r="E252" s="873"/>
      <c r="F252" s="874"/>
      <c r="G252" s="865"/>
      <c r="H252" s="865"/>
      <c r="I252" s="916"/>
      <c r="J252" s="534">
        <f>J251*F251/E251</f>
        <v>27559.999999999996</v>
      </c>
      <c r="K252" s="507" t="s">
        <v>32</v>
      </c>
      <c r="L252" s="866"/>
      <c r="M252" s="865"/>
      <c r="N252" s="865"/>
      <c r="O252" s="975"/>
      <c r="P252" s="287"/>
      <c r="Q252" s="507"/>
      <c r="R252" s="866"/>
      <c r="S252" s="865"/>
      <c r="T252" s="865"/>
      <c r="U252" s="975"/>
      <c r="V252" s="287"/>
      <c r="W252" s="507"/>
      <c r="X252" s="866"/>
      <c r="Y252" s="865"/>
      <c r="Z252" s="865"/>
      <c r="AA252" s="865"/>
      <c r="AB252" s="287"/>
      <c r="AC252" s="507"/>
      <c r="AD252" s="907"/>
      <c r="AE252" s="507"/>
      <c r="AF252" s="507"/>
      <c r="AG252" s="507"/>
      <c r="AH252" s="286"/>
      <c r="AI252" s="507"/>
      <c r="AJ252" s="509"/>
      <c r="AK252" s="507"/>
      <c r="AL252" s="507"/>
      <c r="AM252" s="507"/>
      <c r="AN252" s="286"/>
      <c r="AO252" s="507"/>
      <c r="AP252" s="509"/>
      <c r="AQ252" s="634"/>
      <c r="AR252" s="606"/>
      <c r="AS252" s="394"/>
      <c r="AT252" s="393"/>
      <c r="AU252" s="395"/>
      <c r="AV252" s="278"/>
      <c r="AW252" s="278"/>
      <c r="AX252" s="278"/>
      <c r="AY252" s="278"/>
      <c r="AZ252" s="278"/>
      <c r="BA252" s="278"/>
      <c r="BB252" s="278"/>
      <c r="BC252" s="278"/>
      <c r="BD252" s="278"/>
    </row>
    <row r="253" spans="1:56" ht="39">
      <c r="A253" s="869"/>
      <c r="B253" s="870"/>
      <c r="C253" s="892"/>
      <c r="D253" s="892"/>
      <c r="E253" s="873"/>
      <c r="F253" s="874"/>
      <c r="G253" s="865"/>
      <c r="H253" s="865"/>
      <c r="I253" s="512" t="s">
        <v>2682</v>
      </c>
      <c r="J253" s="534">
        <v>1</v>
      </c>
      <c r="K253" s="507" t="s">
        <v>118</v>
      </c>
      <c r="L253" s="336">
        <v>20</v>
      </c>
      <c r="M253" s="507"/>
      <c r="N253" s="507"/>
      <c r="O253" s="513"/>
      <c r="P253" s="287"/>
      <c r="Q253" s="507"/>
      <c r="R253" s="508"/>
      <c r="S253" s="507"/>
      <c r="T253" s="507"/>
      <c r="U253" s="513"/>
      <c r="V253" s="287"/>
      <c r="W253" s="507"/>
      <c r="X253" s="508"/>
      <c r="Y253" s="507"/>
      <c r="Z253" s="507"/>
      <c r="AA253" s="507"/>
      <c r="AB253" s="287"/>
      <c r="AC253" s="507"/>
      <c r="AD253" s="509"/>
      <c r="AE253" s="507"/>
      <c r="AF253" s="507"/>
      <c r="AG253" s="507"/>
      <c r="AH253" s="286"/>
      <c r="AI253" s="507"/>
      <c r="AJ253" s="509"/>
      <c r="AK253" s="507"/>
      <c r="AL253" s="507"/>
      <c r="AM253" s="507"/>
      <c r="AN253" s="286"/>
      <c r="AO253" s="507"/>
      <c r="AP253" s="509"/>
      <c r="AQ253" s="634"/>
      <c r="AR253" s="606"/>
      <c r="AS253" s="394"/>
      <c r="AT253" s="393"/>
      <c r="AU253" s="395"/>
      <c r="AV253" s="278"/>
      <c r="AW253" s="278"/>
      <c r="AX253" s="278"/>
      <c r="AY253" s="278"/>
      <c r="AZ253" s="278"/>
      <c r="BA253" s="278"/>
      <c r="BB253" s="278"/>
      <c r="BC253" s="278"/>
      <c r="BD253" s="278"/>
    </row>
    <row r="254" spans="1:56">
      <c r="A254" s="869"/>
      <c r="B254" s="870"/>
      <c r="C254" s="892"/>
      <c r="D254" s="892"/>
      <c r="E254" s="873"/>
      <c r="F254" s="874"/>
      <c r="G254" s="865" t="s">
        <v>107</v>
      </c>
      <c r="H254" s="865" t="s">
        <v>641</v>
      </c>
      <c r="I254" s="893" t="s">
        <v>114</v>
      </c>
      <c r="J254" s="274">
        <v>12.089</v>
      </c>
      <c r="K254" s="518" t="s">
        <v>17</v>
      </c>
      <c r="L254" s="866">
        <f>146007.27343</f>
        <v>146007.27343</v>
      </c>
      <c r="M254" s="507"/>
      <c r="N254" s="507"/>
      <c r="O254" s="513"/>
      <c r="P254" s="287"/>
      <c r="Q254" s="507"/>
      <c r="R254" s="508"/>
      <c r="S254" s="507"/>
      <c r="T254" s="507"/>
      <c r="U254" s="513"/>
      <c r="V254" s="287"/>
      <c r="W254" s="507"/>
      <c r="X254" s="508"/>
      <c r="Y254" s="507"/>
      <c r="Z254" s="507"/>
      <c r="AA254" s="507"/>
      <c r="AB254" s="287"/>
      <c r="AC254" s="507"/>
      <c r="AD254" s="509"/>
      <c r="AE254" s="507"/>
      <c r="AF254" s="507"/>
      <c r="AG254" s="507"/>
      <c r="AH254" s="286"/>
      <c r="AI254" s="507"/>
      <c r="AJ254" s="509"/>
      <c r="AK254" s="507"/>
      <c r="AL254" s="507"/>
      <c r="AM254" s="507"/>
      <c r="AN254" s="286"/>
      <c r="AO254" s="507"/>
      <c r="AP254" s="509"/>
      <c r="AQ254" s="634"/>
      <c r="AR254" s="606"/>
      <c r="AS254" s="394"/>
      <c r="AT254" s="393"/>
      <c r="AU254" s="395"/>
      <c r="AV254" s="278"/>
      <c r="AW254" s="278"/>
      <c r="AX254" s="278"/>
      <c r="AY254" s="278"/>
      <c r="AZ254" s="278"/>
      <c r="BA254" s="278"/>
      <c r="BB254" s="278"/>
      <c r="BC254" s="278"/>
      <c r="BD254" s="278"/>
    </row>
    <row r="255" spans="1:56">
      <c r="A255" s="869"/>
      <c r="B255" s="870"/>
      <c r="C255" s="892"/>
      <c r="D255" s="892"/>
      <c r="E255" s="873"/>
      <c r="F255" s="874"/>
      <c r="G255" s="865"/>
      <c r="H255" s="865"/>
      <c r="I255" s="916"/>
      <c r="J255" s="534">
        <f>J254/E251*F251</f>
        <v>83293.209999999992</v>
      </c>
      <c r="K255" s="507" t="s">
        <v>32</v>
      </c>
      <c r="L255" s="866"/>
      <c r="M255" s="507"/>
      <c r="N255" s="507"/>
      <c r="O255" s="513"/>
      <c r="P255" s="287"/>
      <c r="Q255" s="507"/>
      <c r="R255" s="508"/>
      <c r="S255" s="507"/>
      <c r="T255" s="507"/>
      <c r="U255" s="513"/>
      <c r="V255" s="287"/>
      <c r="W255" s="507"/>
      <c r="X255" s="508"/>
      <c r="Y255" s="507"/>
      <c r="Z255" s="507"/>
      <c r="AA255" s="507"/>
      <c r="AB255" s="287"/>
      <c r="AC255" s="507"/>
      <c r="AD255" s="509"/>
      <c r="AE255" s="507"/>
      <c r="AF255" s="507"/>
      <c r="AG255" s="507"/>
      <c r="AH255" s="286"/>
      <c r="AI255" s="507"/>
      <c r="AJ255" s="509"/>
      <c r="AK255" s="507"/>
      <c r="AL255" s="507"/>
      <c r="AM255" s="507"/>
      <c r="AN255" s="286"/>
      <c r="AO255" s="507"/>
      <c r="AP255" s="509"/>
      <c r="AQ255" s="634"/>
      <c r="AR255" s="606"/>
      <c r="AS255" s="394"/>
      <c r="AT255" s="393"/>
      <c r="AU255" s="395"/>
      <c r="AV255" s="278"/>
      <c r="AW255" s="278"/>
      <c r="AX255" s="278"/>
      <c r="AY255" s="278"/>
      <c r="AZ255" s="278"/>
      <c r="BA255" s="278"/>
      <c r="BB255" s="278"/>
      <c r="BC255" s="278"/>
      <c r="BD255" s="278"/>
    </row>
    <row r="256" spans="1:56" ht="39">
      <c r="A256" s="869"/>
      <c r="B256" s="870"/>
      <c r="C256" s="892"/>
      <c r="D256" s="892"/>
      <c r="E256" s="873"/>
      <c r="F256" s="874"/>
      <c r="G256" s="865"/>
      <c r="H256" s="865"/>
      <c r="I256" s="512" t="s">
        <v>2682</v>
      </c>
      <c r="J256" s="534">
        <v>1</v>
      </c>
      <c r="K256" s="507" t="s">
        <v>118</v>
      </c>
      <c r="L256" s="336">
        <v>60.445</v>
      </c>
      <c r="M256" s="507"/>
      <c r="N256" s="507"/>
      <c r="O256" s="513"/>
      <c r="P256" s="287"/>
      <c r="Q256" s="507"/>
      <c r="R256" s="508"/>
      <c r="S256" s="507"/>
      <c r="T256" s="507"/>
      <c r="U256" s="513"/>
      <c r="V256" s="287"/>
      <c r="W256" s="507"/>
      <c r="X256" s="508"/>
      <c r="Y256" s="507"/>
      <c r="Z256" s="507"/>
      <c r="AA256" s="507"/>
      <c r="AB256" s="287"/>
      <c r="AC256" s="507"/>
      <c r="AD256" s="509"/>
      <c r="AE256" s="507"/>
      <c r="AF256" s="507"/>
      <c r="AG256" s="507"/>
      <c r="AH256" s="286"/>
      <c r="AI256" s="507"/>
      <c r="AJ256" s="509"/>
      <c r="AK256" s="507"/>
      <c r="AL256" s="507"/>
      <c r="AM256" s="507"/>
      <c r="AN256" s="286"/>
      <c r="AO256" s="507"/>
      <c r="AP256" s="509"/>
      <c r="AQ256" s="634"/>
      <c r="AR256" s="606"/>
      <c r="AS256" s="394"/>
      <c r="AT256" s="393"/>
      <c r="AU256" s="395"/>
      <c r="AV256" s="278"/>
      <c r="AW256" s="278"/>
      <c r="AX256" s="278"/>
      <c r="AY256" s="278"/>
      <c r="AZ256" s="278"/>
      <c r="BA256" s="278"/>
      <c r="BB256" s="278"/>
      <c r="BC256" s="278"/>
      <c r="BD256" s="278"/>
    </row>
    <row r="257" spans="1:56" ht="31.5" customHeight="1">
      <c r="A257" s="869">
        <v>71</v>
      </c>
      <c r="B257" s="870" t="s">
        <v>642</v>
      </c>
      <c r="C257" s="891" t="s">
        <v>643</v>
      </c>
      <c r="D257" s="892" t="s">
        <v>644</v>
      </c>
      <c r="E257" s="873">
        <v>31.15</v>
      </c>
      <c r="F257" s="874">
        <v>186900</v>
      </c>
      <c r="G257" s="507"/>
      <c r="H257" s="507"/>
      <c r="I257" s="511"/>
      <c r="J257" s="534"/>
      <c r="K257" s="518"/>
      <c r="L257" s="508"/>
      <c r="M257" s="865" t="s">
        <v>60</v>
      </c>
      <c r="N257" s="865" t="s">
        <v>631</v>
      </c>
      <c r="O257" s="893" t="s">
        <v>114</v>
      </c>
      <c r="P257" s="286">
        <v>3.5</v>
      </c>
      <c r="Q257" s="518" t="s">
        <v>17</v>
      </c>
      <c r="R257" s="866">
        <v>56000</v>
      </c>
      <c r="S257" s="507"/>
      <c r="T257" s="507"/>
      <c r="U257" s="507" t="s">
        <v>482</v>
      </c>
      <c r="V257" s="287"/>
      <c r="W257" s="274"/>
      <c r="X257" s="508"/>
      <c r="Y257" s="507"/>
      <c r="Z257" s="507"/>
      <c r="AA257" s="507" t="s">
        <v>482</v>
      </c>
      <c r="AB257" s="286"/>
      <c r="AC257" s="274"/>
      <c r="AD257" s="509"/>
      <c r="AE257" s="865"/>
      <c r="AF257" s="865"/>
      <c r="AG257" s="907"/>
      <c r="AH257" s="286"/>
      <c r="AI257" s="518"/>
      <c r="AJ257" s="907"/>
      <c r="AK257" s="507"/>
      <c r="AL257" s="507"/>
      <c r="AM257" s="907" t="s">
        <v>31</v>
      </c>
      <c r="AN257" s="286">
        <v>3.5</v>
      </c>
      <c r="AO257" s="518" t="s">
        <v>17</v>
      </c>
      <c r="AP257" s="907">
        <v>210000</v>
      </c>
      <c r="AQ257" s="634"/>
      <c r="AR257" s="606"/>
      <c r="AS257" s="394"/>
      <c r="AT257" s="393"/>
      <c r="AU257" s="395"/>
      <c r="AV257" s="278"/>
      <c r="AW257" s="278"/>
      <c r="AX257" s="278"/>
      <c r="AY257" s="278"/>
      <c r="AZ257" s="278"/>
      <c r="BA257" s="278"/>
      <c r="BB257" s="278"/>
      <c r="BC257" s="278"/>
      <c r="BD257" s="278"/>
    </row>
    <row r="258" spans="1:56" ht="31.5" customHeight="1">
      <c r="A258" s="869"/>
      <c r="B258" s="870"/>
      <c r="C258" s="891"/>
      <c r="D258" s="892"/>
      <c r="E258" s="873"/>
      <c r="F258" s="874"/>
      <c r="G258" s="507"/>
      <c r="H258" s="507"/>
      <c r="I258" s="511"/>
      <c r="J258" s="534"/>
      <c r="K258" s="518"/>
      <c r="L258" s="508"/>
      <c r="M258" s="865"/>
      <c r="N258" s="865"/>
      <c r="O258" s="916"/>
      <c r="P258" s="287">
        <f>F257/E257*P257</f>
        <v>21000</v>
      </c>
      <c r="Q258" s="507" t="s">
        <v>32</v>
      </c>
      <c r="R258" s="866"/>
      <c r="S258" s="507"/>
      <c r="T258" s="507"/>
      <c r="U258" s="507"/>
      <c r="V258" s="287"/>
      <c r="W258" s="274"/>
      <c r="X258" s="508"/>
      <c r="Y258" s="507"/>
      <c r="Z258" s="507"/>
      <c r="AA258" s="507"/>
      <c r="AB258" s="286"/>
      <c r="AC258" s="274"/>
      <c r="AD258" s="509"/>
      <c r="AE258" s="865"/>
      <c r="AF258" s="865"/>
      <c r="AG258" s="907"/>
      <c r="AH258" s="286"/>
      <c r="AI258" s="507"/>
      <c r="AJ258" s="907"/>
      <c r="AK258" s="507"/>
      <c r="AL258" s="507"/>
      <c r="AM258" s="907"/>
      <c r="AN258" s="286">
        <f>F257/E257*AN257</f>
        <v>21000</v>
      </c>
      <c r="AO258" s="507" t="s">
        <v>32</v>
      </c>
      <c r="AP258" s="907"/>
      <c r="AQ258" s="634"/>
      <c r="AR258" s="606"/>
      <c r="AS258" s="394"/>
      <c r="AT258" s="393"/>
      <c r="AU258" s="395"/>
      <c r="AV258" s="278"/>
      <c r="AW258" s="278"/>
      <c r="AX258" s="278"/>
      <c r="AY258" s="278"/>
      <c r="AZ258" s="278"/>
      <c r="BA258" s="278"/>
      <c r="BB258" s="278"/>
      <c r="BC258" s="278"/>
      <c r="BD258" s="278"/>
    </row>
    <row r="259" spans="1:56" ht="31.5" customHeight="1">
      <c r="A259" s="869"/>
      <c r="B259" s="870"/>
      <c r="C259" s="891"/>
      <c r="D259" s="892"/>
      <c r="E259" s="873"/>
      <c r="F259" s="874"/>
      <c r="G259" s="507"/>
      <c r="H259" s="507"/>
      <c r="I259" s="511"/>
      <c r="J259" s="534"/>
      <c r="K259" s="518"/>
      <c r="L259" s="508"/>
      <c r="M259" s="865" t="s">
        <v>60</v>
      </c>
      <c r="N259" s="865" t="s">
        <v>631</v>
      </c>
      <c r="O259" s="893" t="s">
        <v>114</v>
      </c>
      <c r="P259" s="286">
        <v>1.83</v>
      </c>
      <c r="Q259" s="518" t="s">
        <v>17</v>
      </c>
      <c r="R259" s="866">
        <v>30000</v>
      </c>
      <c r="S259" s="507"/>
      <c r="T259" s="507"/>
      <c r="U259" s="507"/>
      <c r="V259" s="287"/>
      <c r="W259" s="274"/>
      <c r="X259" s="508"/>
      <c r="Y259" s="507"/>
      <c r="Z259" s="507"/>
      <c r="AA259" s="507"/>
      <c r="AB259" s="286"/>
      <c r="AC259" s="274"/>
      <c r="AD259" s="509"/>
      <c r="AE259" s="507"/>
      <c r="AF259" s="507"/>
      <c r="AG259" s="509"/>
      <c r="AH259" s="286"/>
      <c r="AI259" s="507"/>
      <c r="AJ259" s="509"/>
      <c r="AK259" s="507"/>
      <c r="AL259" s="507"/>
      <c r="AM259" s="509"/>
      <c r="AN259" s="286"/>
      <c r="AO259" s="507"/>
      <c r="AP259" s="509"/>
      <c r="AQ259" s="634"/>
      <c r="AR259" s="606"/>
      <c r="AS259" s="394"/>
      <c r="AT259" s="393"/>
      <c r="AU259" s="395"/>
      <c r="AV259" s="278"/>
      <c r="AW259" s="278"/>
      <c r="AX259" s="278"/>
      <c r="AY259" s="278"/>
      <c r="AZ259" s="278"/>
      <c r="BA259" s="278"/>
      <c r="BB259" s="278"/>
      <c r="BC259" s="278"/>
      <c r="BD259" s="278"/>
    </row>
    <row r="260" spans="1:56" ht="31.5" customHeight="1">
      <c r="A260" s="869"/>
      <c r="B260" s="870"/>
      <c r="C260" s="891"/>
      <c r="D260" s="892"/>
      <c r="E260" s="873"/>
      <c r="F260" s="874"/>
      <c r="G260" s="507"/>
      <c r="H260" s="507"/>
      <c r="I260" s="511"/>
      <c r="J260" s="534"/>
      <c r="K260" s="518"/>
      <c r="L260" s="508"/>
      <c r="M260" s="865"/>
      <c r="N260" s="865"/>
      <c r="O260" s="916"/>
      <c r="P260" s="287">
        <f>P259*F257/E257</f>
        <v>10980</v>
      </c>
      <c r="Q260" s="507" t="s">
        <v>32</v>
      </c>
      <c r="R260" s="866"/>
      <c r="S260" s="507"/>
      <c r="T260" s="507"/>
      <c r="U260" s="507"/>
      <c r="V260" s="287"/>
      <c r="W260" s="274"/>
      <c r="X260" s="508"/>
      <c r="Y260" s="507"/>
      <c r="Z260" s="507"/>
      <c r="AA260" s="507"/>
      <c r="AB260" s="286"/>
      <c r="AC260" s="274"/>
      <c r="AD260" s="509"/>
      <c r="AE260" s="507"/>
      <c r="AF260" s="507"/>
      <c r="AG260" s="509"/>
      <c r="AH260" s="286"/>
      <c r="AI260" s="507"/>
      <c r="AJ260" s="509"/>
      <c r="AK260" s="507"/>
      <c r="AL260" s="507"/>
      <c r="AM260" s="509"/>
      <c r="AN260" s="286"/>
      <c r="AO260" s="507"/>
      <c r="AP260" s="509"/>
      <c r="AQ260" s="634"/>
      <c r="AR260" s="606"/>
      <c r="AS260" s="394"/>
      <c r="AT260" s="393"/>
      <c r="AU260" s="395"/>
      <c r="AV260" s="278"/>
      <c r="AW260" s="278"/>
      <c r="AX260" s="278"/>
      <c r="AY260" s="278"/>
      <c r="AZ260" s="278"/>
      <c r="BA260" s="278"/>
      <c r="BB260" s="278"/>
      <c r="BC260" s="278"/>
      <c r="BD260" s="278"/>
    </row>
    <row r="261" spans="1:56">
      <c r="A261" s="869">
        <v>72</v>
      </c>
      <c r="B261" s="870" t="s">
        <v>645</v>
      </c>
      <c r="C261" s="891" t="s">
        <v>646</v>
      </c>
      <c r="D261" s="892" t="s">
        <v>647</v>
      </c>
      <c r="E261" s="873">
        <v>20.785</v>
      </c>
      <c r="F261" s="874">
        <v>124710</v>
      </c>
      <c r="G261" s="865" t="s">
        <v>648</v>
      </c>
      <c r="H261" s="865" t="s">
        <v>649</v>
      </c>
      <c r="I261" s="893" t="s">
        <v>114</v>
      </c>
      <c r="J261" s="274">
        <v>8</v>
      </c>
      <c r="K261" s="518" t="s">
        <v>17</v>
      </c>
      <c r="L261" s="962">
        <f>29473.46769+63116.81845</f>
        <v>92590.286139999997</v>
      </c>
      <c r="M261" s="865"/>
      <c r="N261" s="865"/>
      <c r="O261" s="865"/>
      <c r="P261" s="286"/>
      <c r="Q261" s="518"/>
      <c r="R261" s="866"/>
      <c r="S261" s="865" t="s">
        <v>649</v>
      </c>
      <c r="T261" s="865" t="s">
        <v>650</v>
      </c>
      <c r="U261" s="893" t="s">
        <v>114</v>
      </c>
      <c r="V261" s="286">
        <v>8</v>
      </c>
      <c r="W261" s="518" t="s">
        <v>17</v>
      </c>
      <c r="X261" s="866">
        <f>70752/6*V261</f>
        <v>94336</v>
      </c>
      <c r="Y261" s="865" t="s">
        <v>650</v>
      </c>
      <c r="Z261" s="865" t="s">
        <v>2984</v>
      </c>
      <c r="AA261" s="865" t="s">
        <v>31</v>
      </c>
      <c r="AB261" s="286">
        <v>1.3</v>
      </c>
      <c r="AC261" s="518" t="s">
        <v>17</v>
      </c>
      <c r="AD261" s="907">
        <v>56601.599999999999</v>
      </c>
      <c r="AE261" s="507"/>
      <c r="AF261" s="507"/>
      <c r="AG261" s="865"/>
      <c r="AH261" s="286"/>
      <c r="AI261" s="518"/>
      <c r="AJ261" s="907"/>
      <c r="AK261" s="865"/>
      <c r="AL261" s="865"/>
      <c r="AM261" s="513"/>
      <c r="AN261" s="288"/>
      <c r="AO261" s="513"/>
      <c r="AP261" s="626"/>
      <c r="AQ261" s="634"/>
      <c r="AR261" s="606"/>
      <c r="AS261" s="394"/>
      <c r="AT261" s="393"/>
      <c r="AU261" s="395"/>
      <c r="AV261" s="278"/>
      <c r="AW261" s="278"/>
      <c r="AX261" s="278"/>
      <c r="AY261" s="278"/>
      <c r="AZ261" s="278"/>
      <c r="BA261" s="278"/>
      <c r="BB261" s="278"/>
      <c r="BC261" s="278"/>
      <c r="BD261" s="278"/>
    </row>
    <row r="262" spans="1:56">
      <c r="A262" s="869"/>
      <c r="B262" s="870"/>
      <c r="C262" s="891"/>
      <c r="D262" s="892"/>
      <c r="E262" s="873"/>
      <c r="F262" s="874"/>
      <c r="G262" s="865"/>
      <c r="H262" s="865"/>
      <c r="I262" s="916"/>
      <c r="J262" s="534">
        <v>33235</v>
      </c>
      <c r="K262" s="507" t="s">
        <v>32</v>
      </c>
      <c r="L262" s="963"/>
      <c r="M262" s="865"/>
      <c r="N262" s="865"/>
      <c r="O262" s="975"/>
      <c r="P262" s="287"/>
      <c r="Q262" s="507"/>
      <c r="R262" s="866"/>
      <c r="S262" s="865"/>
      <c r="T262" s="865"/>
      <c r="U262" s="916"/>
      <c r="V262" s="287">
        <f>F261/E261*V261</f>
        <v>48000</v>
      </c>
      <c r="W262" s="507" t="s">
        <v>32</v>
      </c>
      <c r="X262" s="866"/>
      <c r="Y262" s="865"/>
      <c r="Z262" s="865"/>
      <c r="AA262" s="865"/>
      <c r="AB262" s="287">
        <f>F261/E261*AB261</f>
        <v>7800</v>
      </c>
      <c r="AC262" s="507" t="s">
        <v>32</v>
      </c>
      <c r="AD262" s="907"/>
      <c r="AE262" s="507"/>
      <c r="AF262" s="507"/>
      <c r="AG262" s="865"/>
      <c r="AH262" s="286"/>
      <c r="AI262" s="507"/>
      <c r="AJ262" s="907"/>
      <c r="AK262" s="865"/>
      <c r="AL262" s="865"/>
      <c r="AM262" s="513"/>
      <c r="AN262" s="288"/>
      <c r="AO262" s="513"/>
      <c r="AP262" s="626"/>
      <c r="AQ262" s="634"/>
      <c r="AR262" s="606"/>
      <c r="AS262" s="394"/>
      <c r="AT262" s="393"/>
      <c r="AU262" s="395"/>
      <c r="AV262" s="278"/>
      <c r="AW262" s="278"/>
      <c r="AX262" s="278"/>
      <c r="AY262" s="278"/>
      <c r="AZ262" s="278"/>
      <c r="BA262" s="278"/>
      <c r="BB262" s="278"/>
      <c r="BC262" s="278"/>
      <c r="BD262" s="278"/>
    </row>
    <row r="263" spans="1:56" ht="39">
      <c r="A263" s="869"/>
      <c r="B263" s="870"/>
      <c r="C263" s="891"/>
      <c r="D263" s="892"/>
      <c r="E263" s="873"/>
      <c r="F263" s="874"/>
      <c r="G263" s="865"/>
      <c r="H263" s="865"/>
      <c r="I263" s="512" t="s">
        <v>2682</v>
      </c>
      <c r="J263" s="534">
        <v>1</v>
      </c>
      <c r="K263" s="507" t="s">
        <v>118</v>
      </c>
      <c r="L263" s="336">
        <v>40</v>
      </c>
      <c r="M263" s="507"/>
      <c r="N263" s="507"/>
      <c r="O263" s="513"/>
      <c r="P263" s="287"/>
      <c r="Q263" s="507"/>
      <c r="R263" s="508"/>
      <c r="S263" s="507"/>
      <c r="T263" s="507"/>
      <c r="U263" s="513"/>
      <c r="V263" s="287"/>
      <c r="W263" s="507"/>
      <c r="X263" s="508"/>
      <c r="Y263" s="507"/>
      <c r="Z263" s="507"/>
      <c r="AA263" s="507"/>
      <c r="AB263" s="287"/>
      <c r="AC263" s="507"/>
      <c r="AD263" s="509"/>
      <c r="AE263" s="507"/>
      <c r="AF263" s="507"/>
      <c r="AG263" s="507"/>
      <c r="AH263" s="286"/>
      <c r="AI263" s="507"/>
      <c r="AJ263" s="509"/>
      <c r="AK263" s="507"/>
      <c r="AL263" s="507"/>
      <c r="AM263" s="513"/>
      <c r="AN263" s="288"/>
      <c r="AO263" s="513"/>
      <c r="AP263" s="626"/>
      <c r="AQ263" s="634"/>
      <c r="AR263" s="606"/>
      <c r="AS263" s="394"/>
      <c r="AT263" s="393"/>
      <c r="AU263" s="395"/>
      <c r="AV263" s="278"/>
      <c r="AW263" s="278"/>
      <c r="AX263" s="278"/>
      <c r="AY263" s="278"/>
      <c r="AZ263" s="278"/>
      <c r="BA263" s="278"/>
      <c r="BB263" s="278"/>
      <c r="BC263" s="278"/>
      <c r="BD263" s="278"/>
    </row>
    <row r="264" spans="1:56">
      <c r="A264" s="869">
        <v>73</v>
      </c>
      <c r="B264" s="870" t="s">
        <v>651</v>
      </c>
      <c r="C264" s="891" t="s">
        <v>652</v>
      </c>
      <c r="D264" s="892" t="s">
        <v>653</v>
      </c>
      <c r="E264" s="873">
        <v>37.15</v>
      </c>
      <c r="F264" s="874">
        <v>260050</v>
      </c>
      <c r="G264" s="507"/>
      <c r="H264" s="507"/>
      <c r="I264" s="511"/>
      <c r="J264" s="534"/>
      <c r="K264" s="518"/>
      <c r="L264" s="508"/>
      <c r="M264" s="507"/>
      <c r="N264" s="507"/>
      <c r="O264" s="507" t="s">
        <v>482</v>
      </c>
      <c r="P264" s="287"/>
      <c r="Q264" s="513"/>
      <c r="R264" s="508"/>
      <c r="S264" s="507"/>
      <c r="T264" s="507"/>
      <c r="U264" s="865"/>
      <c r="V264" s="286"/>
      <c r="W264" s="518"/>
      <c r="X264" s="866"/>
      <c r="Y264" s="507"/>
      <c r="Z264" s="507"/>
      <c r="AA264" s="507" t="s">
        <v>482</v>
      </c>
      <c r="AB264" s="286"/>
      <c r="AC264" s="274"/>
      <c r="AD264" s="509"/>
      <c r="AE264" s="507"/>
      <c r="AF264" s="507"/>
      <c r="AG264" s="507" t="s">
        <v>482</v>
      </c>
      <c r="AH264" s="286"/>
      <c r="AI264" s="507"/>
      <c r="AJ264" s="509"/>
      <c r="AK264" s="507"/>
      <c r="AL264" s="507"/>
      <c r="AM264" s="907" t="s">
        <v>31</v>
      </c>
      <c r="AN264" s="286">
        <v>3</v>
      </c>
      <c r="AO264" s="518" t="s">
        <v>17</v>
      </c>
      <c r="AP264" s="907">
        <v>180000</v>
      </c>
      <c r="AQ264" s="634"/>
      <c r="AR264" s="606"/>
      <c r="AS264" s="394"/>
      <c r="AT264" s="393"/>
      <c r="AU264" s="395"/>
      <c r="AV264" s="278"/>
      <c r="AW264" s="278"/>
      <c r="AX264" s="278"/>
      <c r="AY264" s="278"/>
      <c r="AZ264" s="278"/>
      <c r="BA264" s="278"/>
      <c r="BB264" s="278"/>
      <c r="BC264" s="278"/>
      <c r="BD264" s="278"/>
    </row>
    <row r="265" spans="1:56">
      <c r="A265" s="869"/>
      <c r="B265" s="870"/>
      <c r="C265" s="891"/>
      <c r="D265" s="892"/>
      <c r="E265" s="873"/>
      <c r="F265" s="874"/>
      <c r="G265" s="507"/>
      <c r="H265" s="507"/>
      <c r="I265" s="511"/>
      <c r="J265" s="534"/>
      <c r="K265" s="518"/>
      <c r="L265" s="508"/>
      <c r="M265" s="507"/>
      <c r="N265" s="507"/>
      <c r="O265" s="507"/>
      <c r="P265" s="287"/>
      <c r="Q265" s="513"/>
      <c r="R265" s="508"/>
      <c r="S265" s="507"/>
      <c r="T265" s="507"/>
      <c r="U265" s="865"/>
      <c r="V265" s="287"/>
      <c r="W265" s="507"/>
      <c r="X265" s="866"/>
      <c r="Y265" s="507"/>
      <c r="Z265" s="507"/>
      <c r="AA265" s="507"/>
      <c r="AB265" s="286"/>
      <c r="AC265" s="274"/>
      <c r="AD265" s="509"/>
      <c r="AE265" s="507"/>
      <c r="AF265" s="507"/>
      <c r="AG265" s="507"/>
      <c r="AH265" s="286"/>
      <c r="AI265" s="507"/>
      <c r="AJ265" s="509"/>
      <c r="AK265" s="507"/>
      <c r="AL265" s="507"/>
      <c r="AM265" s="907"/>
      <c r="AN265" s="286">
        <f>F264/E264*AN264</f>
        <v>21000</v>
      </c>
      <c r="AO265" s="507" t="s">
        <v>32</v>
      </c>
      <c r="AP265" s="907"/>
      <c r="AQ265" s="634"/>
      <c r="AR265" s="606"/>
      <c r="AS265" s="394"/>
      <c r="AT265" s="393"/>
      <c r="AU265" s="395"/>
      <c r="AV265" s="278"/>
      <c r="AW265" s="278"/>
      <c r="AX265" s="278"/>
      <c r="AY265" s="278"/>
      <c r="AZ265" s="278"/>
      <c r="BA265" s="278"/>
      <c r="BB265" s="278"/>
      <c r="BC265" s="278"/>
      <c r="BD265" s="278"/>
    </row>
    <row r="266" spans="1:56" ht="45.75" customHeight="1">
      <c r="A266" s="869">
        <v>74</v>
      </c>
      <c r="B266" s="870" t="s">
        <v>654</v>
      </c>
      <c r="C266" s="891" t="s">
        <v>655</v>
      </c>
      <c r="D266" s="892" t="s">
        <v>656</v>
      </c>
      <c r="E266" s="873">
        <v>16.893999999999998</v>
      </c>
      <c r="F266" s="874">
        <v>242100</v>
      </c>
      <c r="G266" s="507"/>
      <c r="H266" s="507"/>
      <c r="I266" s="511"/>
      <c r="J266" s="534"/>
      <c r="K266" s="518"/>
      <c r="L266" s="508"/>
      <c r="M266" s="507"/>
      <c r="N266" s="507"/>
      <c r="O266" s="507" t="s">
        <v>482</v>
      </c>
      <c r="P266" s="287"/>
      <c r="Q266" s="513"/>
      <c r="R266" s="508"/>
      <c r="S266" s="865"/>
      <c r="T266" s="865"/>
      <c r="U266" s="865"/>
      <c r="V266" s="286"/>
      <c r="W266" s="518"/>
      <c r="X266" s="866"/>
      <c r="Y266" s="865"/>
      <c r="Z266" s="865"/>
      <c r="AA266" s="865"/>
      <c r="AB266" s="287"/>
      <c r="AC266" s="518"/>
      <c r="AD266" s="907"/>
      <c r="AE266" s="865"/>
      <c r="AF266" s="865"/>
      <c r="AG266" s="865"/>
      <c r="AH266" s="287"/>
      <c r="AI266" s="518"/>
      <c r="AJ266" s="907"/>
      <c r="AK266" s="865"/>
      <c r="AL266" s="865"/>
      <c r="AM266" s="907" t="s">
        <v>31</v>
      </c>
      <c r="AN266" s="286">
        <v>3</v>
      </c>
      <c r="AO266" s="518" t="s">
        <v>17</v>
      </c>
      <c r="AP266" s="907">
        <v>180000</v>
      </c>
      <c r="AQ266" s="634"/>
      <c r="AR266" s="606"/>
      <c r="AS266" s="394"/>
      <c r="AT266" s="393"/>
      <c r="AU266" s="395"/>
      <c r="AV266" s="278"/>
      <c r="AW266" s="278"/>
      <c r="AX266" s="278"/>
      <c r="AY266" s="278"/>
      <c r="AZ266" s="278"/>
      <c r="BA266" s="278"/>
      <c r="BB266" s="278"/>
      <c r="BC266" s="278"/>
      <c r="BD266" s="278"/>
    </row>
    <row r="267" spans="1:56" ht="45.75" customHeight="1">
      <c r="A267" s="869"/>
      <c r="B267" s="870"/>
      <c r="C267" s="915"/>
      <c r="D267" s="892"/>
      <c r="E267" s="873"/>
      <c r="F267" s="874"/>
      <c r="G267" s="507"/>
      <c r="H267" s="507"/>
      <c r="I267" s="511"/>
      <c r="J267" s="534"/>
      <c r="K267" s="518"/>
      <c r="L267" s="508"/>
      <c r="M267" s="507"/>
      <c r="N267" s="507"/>
      <c r="O267" s="507"/>
      <c r="P267" s="287"/>
      <c r="Q267" s="513"/>
      <c r="R267" s="508"/>
      <c r="S267" s="975"/>
      <c r="T267" s="975"/>
      <c r="U267" s="975"/>
      <c r="V267" s="287"/>
      <c r="W267" s="507"/>
      <c r="X267" s="980"/>
      <c r="Y267" s="975"/>
      <c r="Z267" s="975"/>
      <c r="AA267" s="975"/>
      <c r="AB267" s="287"/>
      <c r="AC267" s="507"/>
      <c r="AD267" s="981"/>
      <c r="AE267" s="975"/>
      <c r="AF267" s="975"/>
      <c r="AG267" s="975"/>
      <c r="AH267" s="287"/>
      <c r="AI267" s="507"/>
      <c r="AJ267" s="981"/>
      <c r="AK267" s="975"/>
      <c r="AL267" s="975"/>
      <c r="AM267" s="907"/>
      <c r="AN267" s="286">
        <f>F266/E266*AN266</f>
        <v>42991.594648987812</v>
      </c>
      <c r="AO267" s="507" t="s">
        <v>32</v>
      </c>
      <c r="AP267" s="907"/>
      <c r="AQ267" s="634"/>
      <c r="AR267" s="606"/>
      <c r="AS267" s="394"/>
      <c r="AT267" s="393"/>
      <c r="AU267" s="395"/>
      <c r="AV267" s="278"/>
      <c r="AW267" s="278"/>
      <c r="AX267" s="278"/>
      <c r="AY267" s="278"/>
      <c r="AZ267" s="278"/>
      <c r="BA267" s="278"/>
      <c r="BB267" s="278"/>
      <c r="BC267" s="278"/>
      <c r="BD267" s="278"/>
    </row>
    <row r="268" spans="1:56" ht="28.5" customHeight="1">
      <c r="A268" s="869">
        <v>75</v>
      </c>
      <c r="B268" s="870" t="s">
        <v>657</v>
      </c>
      <c r="C268" s="891" t="s">
        <v>658</v>
      </c>
      <c r="D268" s="892" t="s">
        <v>659</v>
      </c>
      <c r="E268" s="873">
        <v>41.095999999999997</v>
      </c>
      <c r="F268" s="874">
        <v>246576</v>
      </c>
      <c r="G268" s="893" t="s">
        <v>60</v>
      </c>
      <c r="H268" s="865" t="s">
        <v>489</v>
      </c>
      <c r="I268" s="893" t="s">
        <v>31</v>
      </c>
      <c r="J268" s="274">
        <v>9.9899299999999993</v>
      </c>
      <c r="K268" s="518" t="s">
        <v>17</v>
      </c>
      <c r="L268" s="866">
        <v>100871.13755</v>
      </c>
      <c r="M268" s="514"/>
      <c r="N268" s="14"/>
      <c r="O268" s="14"/>
      <c r="P268" s="289"/>
      <c r="Q268" s="14"/>
      <c r="R268" s="614"/>
      <c r="S268" s="507"/>
      <c r="T268" s="507"/>
      <c r="U268" s="515"/>
      <c r="V268" s="287"/>
      <c r="W268" s="274"/>
      <c r="X268" s="336"/>
      <c r="Y268" s="507"/>
      <c r="Z268" s="507"/>
      <c r="AA268" s="515"/>
      <c r="AB268" s="517"/>
      <c r="AC268" s="274"/>
      <c r="AD268" s="623"/>
      <c r="AE268" s="865"/>
      <c r="AF268" s="865"/>
      <c r="AG268" s="907"/>
      <c r="AH268" s="286"/>
      <c r="AI268" s="518"/>
      <c r="AJ268" s="907"/>
      <c r="AK268" s="507"/>
      <c r="AL268" s="507"/>
      <c r="AM268" s="507"/>
      <c r="AN268" s="286"/>
      <c r="AO268" s="507"/>
      <c r="AP268" s="509"/>
      <c r="AQ268" s="634"/>
      <c r="AR268" s="606"/>
      <c r="AS268" s="394"/>
      <c r="AT268" s="393"/>
      <c r="AU268" s="395"/>
      <c r="AV268" s="278"/>
      <c r="AW268" s="278"/>
      <c r="AX268" s="278"/>
      <c r="AY268" s="278"/>
      <c r="AZ268" s="278"/>
      <c r="BA268" s="278"/>
      <c r="BB268" s="278"/>
      <c r="BC268" s="278"/>
      <c r="BD268" s="278"/>
    </row>
    <row r="269" spans="1:56" ht="28.5" customHeight="1">
      <c r="A269" s="869"/>
      <c r="B269" s="870"/>
      <c r="C269" s="891"/>
      <c r="D269" s="892"/>
      <c r="E269" s="873"/>
      <c r="F269" s="874"/>
      <c r="G269" s="865"/>
      <c r="H269" s="865"/>
      <c r="I269" s="894"/>
      <c r="J269" s="534">
        <v>76614</v>
      </c>
      <c r="K269" s="507" t="s">
        <v>32</v>
      </c>
      <c r="L269" s="866"/>
      <c r="M269" s="514"/>
      <c r="N269" s="14"/>
      <c r="O269" s="14"/>
      <c r="P269" s="289"/>
      <c r="Q269" s="14"/>
      <c r="R269" s="614"/>
      <c r="S269" s="507"/>
      <c r="T269" s="507"/>
      <c r="U269" s="515"/>
      <c r="V269" s="287"/>
      <c r="W269" s="274"/>
      <c r="X269" s="336"/>
      <c r="Y269" s="507"/>
      <c r="Z269" s="507"/>
      <c r="AA269" s="515"/>
      <c r="AB269" s="517"/>
      <c r="AC269" s="274"/>
      <c r="AD269" s="623"/>
      <c r="AE269" s="865"/>
      <c r="AF269" s="865"/>
      <c r="AG269" s="907"/>
      <c r="AH269" s="287"/>
      <c r="AI269" s="507"/>
      <c r="AJ269" s="907"/>
      <c r="AK269" s="507"/>
      <c r="AL269" s="507"/>
      <c r="AM269" s="507"/>
      <c r="AN269" s="286"/>
      <c r="AO269" s="507"/>
      <c r="AP269" s="509"/>
      <c r="AQ269" s="634"/>
      <c r="AR269" s="606"/>
      <c r="AS269" s="394"/>
      <c r="AT269" s="393"/>
      <c r="AU269" s="395"/>
      <c r="AV269" s="278"/>
      <c r="AW269" s="278"/>
      <c r="AX269" s="278"/>
      <c r="AY269" s="278"/>
      <c r="AZ269" s="278"/>
      <c r="BA269" s="278"/>
      <c r="BB269" s="278"/>
      <c r="BC269" s="278"/>
      <c r="BD269" s="278"/>
    </row>
    <row r="270" spans="1:56">
      <c r="A270" s="869"/>
      <c r="B270" s="870"/>
      <c r="C270" s="891"/>
      <c r="D270" s="892"/>
      <c r="E270" s="873"/>
      <c r="F270" s="874"/>
      <c r="G270" s="865"/>
      <c r="H270" s="865"/>
      <c r="I270" s="893"/>
      <c r="J270" s="534"/>
      <c r="K270" s="518"/>
      <c r="L270" s="866"/>
      <c r="M270" s="514"/>
      <c r="N270" s="14"/>
      <c r="O270" s="14"/>
      <c r="P270" s="289"/>
      <c r="Q270" s="14"/>
      <c r="R270" s="614"/>
      <c r="S270" s="865"/>
      <c r="T270" s="865"/>
      <c r="U270" s="865"/>
      <c r="V270" s="286"/>
      <c r="W270" s="518"/>
      <c r="X270" s="866"/>
      <c r="Y270" s="507"/>
      <c r="Z270" s="507"/>
      <c r="AA270" s="515"/>
      <c r="AB270" s="517"/>
      <c r="AC270" s="274"/>
      <c r="AD270" s="623"/>
      <c r="AE270" s="507"/>
      <c r="AF270" s="507"/>
      <c r="AG270" s="507"/>
      <c r="AH270" s="286"/>
      <c r="AI270" s="507"/>
      <c r="AJ270" s="509"/>
      <c r="AK270" s="507"/>
      <c r="AL270" s="507"/>
      <c r="AM270" s="507"/>
      <c r="AN270" s="286"/>
      <c r="AO270" s="507"/>
      <c r="AP270" s="509"/>
      <c r="AQ270" s="634"/>
      <c r="AR270" s="606"/>
      <c r="AS270" s="394"/>
      <c r="AT270" s="393"/>
      <c r="AU270" s="395"/>
      <c r="AV270" s="278"/>
      <c r="AW270" s="278"/>
      <c r="AX270" s="278"/>
      <c r="AY270" s="278"/>
      <c r="AZ270" s="278"/>
      <c r="BA270" s="278"/>
      <c r="BB270" s="278"/>
      <c r="BC270" s="278"/>
      <c r="BD270" s="278"/>
    </row>
    <row r="271" spans="1:56">
      <c r="A271" s="869"/>
      <c r="B271" s="870"/>
      <c r="C271" s="891"/>
      <c r="D271" s="892"/>
      <c r="E271" s="873"/>
      <c r="F271" s="874"/>
      <c r="G271" s="865"/>
      <c r="H271" s="865"/>
      <c r="I271" s="894"/>
      <c r="J271" s="534"/>
      <c r="K271" s="507"/>
      <c r="L271" s="866"/>
      <c r="M271" s="514"/>
      <c r="N271" s="14"/>
      <c r="O271" s="14"/>
      <c r="P271" s="289"/>
      <c r="Q271" s="14"/>
      <c r="R271" s="614"/>
      <c r="S271" s="865"/>
      <c r="T271" s="865"/>
      <c r="U271" s="975"/>
      <c r="V271" s="287"/>
      <c r="W271" s="507"/>
      <c r="X271" s="866"/>
      <c r="Y271" s="507"/>
      <c r="Z271" s="507"/>
      <c r="AA271" s="515"/>
      <c r="AB271" s="517"/>
      <c r="AC271" s="274"/>
      <c r="AD271" s="623"/>
      <c r="AE271" s="507"/>
      <c r="AF271" s="507"/>
      <c r="AG271" s="507"/>
      <c r="AH271" s="286"/>
      <c r="AI271" s="507"/>
      <c r="AJ271" s="509"/>
      <c r="AK271" s="507"/>
      <c r="AL271" s="507"/>
      <c r="AM271" s="507"/>
      <c r="AN271" s="286"/>
      <c r="AO271" s="507"/>
      <c r="AP271" s="509"/>
      <c r="AQ271" s="634"/>
      <c r="AR271" s="606"/>
      <c r="AS271" s="394"/>
      <c r="AT271" s="393"/>
      <c r="AU271" s="395"/>
      <c r="AV271" s="278"/>
      <c r="AW271" s="278"/>
      <c r="AX271" s="278"/>
      <c r="AY271" s="278"/>
      <c r="AZ271" s="278"/>
      <c r="BA271" s="278"/>
      <c r="BB271" s="278"/>
      <c r="BC271" s="278"/>
      <c r="BD271" s="278"/>
    </row>
    <row r="272" spans="1:56">
      <c r="A272" s="869">
        <v>76</v>
      </c>
      <c r="B272" s="870" t="s">
        <v>660</v>
      </c>
      <c r="C272" s="891" t="s">
        <v>661</v>
      </c>
      <c r="D272" s="892" t="s">
        <v>662</v>
      </c>
      <c r="E272" s="873">
        <v>32.526000000000003</v>
      </c>
      <c r="F272" s="874">
        <v>195156.00000000003</v>
      </c>
      <c r="G272" s="865" t="s">
        <v>663</v>
      </c>
      <c r="H272" s="865" t="s">
        <v>664</v>
      </c>
      <c r="I272" s="893" t="s">
        <v>114</v>
      </c>
      <c r="J272" s="274">
        <v>5</v>
      </c>
      <c r="K272" s="518" t="s">
        <v>17</v>
      </c>
      <c r="L272" s="866">
        <v>71375.479059999998</v>
      </c>
      <c r="M272" s="865" t="s">
        <v>664</v>
      </c>
      <c r="N272" s="865" t="s">
        <v>665</v>
      </c>
      <c r="O272" s="893" t="s">
        <v>114</v>
      </c>
      <c r="P272" s="286">
        <v>5.7</v>
      </c>
      <c r="Q272" s="518" t="s">
        <v>17</v>
      </c>
      <c r="R272" s="866">
        <v>79800</v>
      </c>
      <c r="S272" s="507"/>
      <c r="T272" s="507"/>
      <c r="U272" s="507" t="s">
        <v>482</v>
      </c>
      <c r="V272" s="287"/>
      <c r="W272" s="274"/>
      <c r="X272" s="508"/>
      <c r="Y272" s="507"/>
      <c r="Z272" s="507"/>
      <c r="AA272" s="507" t="s">
        <v>482</v>
      </c>
      <c r="AB272" s="286"/>
      <c r="AC272" s="274"/>
      <c r="AD272" s="509"/>
      <c r="AE272" s="865"/>
      <c r="AF272" s="865"/>
      <c r="AG272" s="907" t="s">
        <v>31</v>
      </c>
      <c r="AH272" s="286">
        <v>2.6</v>
      </c>
      <c r="AI272" s="518" t="s">
        <v>17</v>
      </c>
      <c r="AJ272" s="907">
        <v>156000</v>
      </c>
      <c r="AK272" s="507"/>
      <c r="AL272" s="507"/>
      <c r="AM272" s="507" t="s">
        <v>482</v>
      </c>
      <c r="AN272" s="286"/>
      <c r="AO272" s="507"/>
      <c r="AP272" s="509"/>
      <c r="AQ272" s="634"/>
      <c r="AR272" s="606"/>
      <c r="AS272" s="394"/>
      <c r="AT272" s="393"/>
      <c r="AU272" s="395"/>
      <c r="AV272" s="278"/>
      <c r="AW272" s="278"/>
      <c r="AX272" s="278"/>
      <c r="AY272" s="278"/>
      <c r="AZ272" s="278"/>
      <c r="BA272" s="278"/>
      <c r="BB272" s="278"/>
      <c r="BC272" s="278"/>
      <c r="BD272" s="278"/>
    </row>
    <row r="273" spans="1:56">
      <c r="A273" s="869"/>
      <c r="B273" s="870"/>
      <c r="C273" s="891"/>
      <c r="D273" s="892"/>
      <c r="E273" s="873"/>
      <c r="F273" s="874"/>
      <c r="G273" s="865"/>
      <c r="H273" s="865"/>
      <c r="I273" s="916"/>
      <c r="J273" s="534">
        <v>31345.599999999999</v>
      </c>
      <c r="K273" s="507" t="s">
        <v>32</v>
      </c>
      <c r="L273" s="866"/>
      <c r="M273" s="865"/>
      <c r="N273" s="865"/>
      <c r="O273" s="916"/>
      <c r="P273" s="287">
        <f>F272/E272*P272</f>
        <v>34200</v>
      </c>
      <c r="Q273" s="507" t="s">
        <v>32</v>
      </c>
      <c r="R273" s="866"/>
      <c r="S273" s="507"/>
      <c r="T273" s="507"/>
      <c r="U273" s="507"/>
      <c r="V273" s="287"/>
      <c r="W273" s="274"/>
      <c r="X273" s="508"/>
      <c r="Y273" s="507"/>
      <c r="Z273" s="507"/>
      <c r="AA273" s="507"/>
      <c r="AB273" s="286"/>
      <c r="AC273" s="274"/>
      <c r="AD273" s="509"/>
      <c r="AE273" s="865"/>
      <c r="AF273" s="865"/>
      <c r="AG273" s="907"/>
      <c r="AH273" s="287">
        <f>F272/E272*AH272</f>
        <v>15600</v>
      </c>
      <c r="AI273" s="507" t="s">
        <v>32</v>
      </c>
      <c r="AJ273" s="907"/>
      <c r="AK273" s="507"/>
      <c r="AL273" s="507"/>
      <c r="AM273" s="507"/>
      <c r="AN273" s="286"/>
      <c r="AO273" s="507"/>
      <c r="AP273" s="509"/>
      <c r="AQ273" s="634"/>
      <c r="AR273" s="606"/>
      <c r="AS273" s="394"/>
      <c r="AT273" s="393"/>
      <c r="AU273" s="395"/>
      <c r="AV273" s="278"/>
      <c r="AW273" s="278"/>
      <c r="AX273" s="278"/>
      <c r="AY273" s="278"/>
      <c r="AZ273" s="278"/>
      <c r="BA273" s="278"/>
      <c r="BB273" s="278"/>
      <c r="BC273" s="278"/>
      <c r="BD273" s="278"/>
    </row>
    <row r="274" spans="1:56" ht="39">
      <c r="A274" s="869"/>
      <c r="B274" s="870"/>
      <c r="C274" s="891"/>
      <c r="D274" s="892"/>
      <c r="E274" s="873"/>
      <c r="F274" s="874"/>
      <c r="G274" s="865"/>
      <c r="H274" s="865"/>
      <c r="I274" s="512" t="s">
        <v>2682</v>
      </c>
      <c r="J274" s="534">
        <v>1</v>
      </c>
      <c r="K274" s="507" t="s">
        <v>118</v>
      </c>
      <c r="L274" s="336">
        <v>25</v>
      </c>
      <c r="M274" s="507"/>
      <c r="N274" s="507"/>
      <c r="O274" s="513"/>
      <c r="P274" s="287"/>
      <c r="Q274" s="507"/>
      <c r="R274" s="508"/>
      <c r="S274" s="507"/>
      <c r="T274" s="507"/>
      <c r="U274" s="507"/>
      <c r="V274" s="287"/>
      <c r="W274" s="274"/>
      <c r="X274" s="508"/>
      <c r="Y274" s="507"/>
      <c r="Z274" s="507"/>
      <c r="AA274" s="507"/>
      <c r="AB274" s="286"/>
      <c r="AC274" s="274"/>
      <c r="AD274" s="509"/>
      <c r="AE274" s="507"/>
      <c r="AF274" s="507"/>
      <c r="AG274" s="509"/>
      <c r="AH274" s="287"/>
      <c r="AI274" s="507"/>
      <c r="AJ274" s="509"/>
      <c r="AK274" s="507"/>
      <c r="AL274" s="507"/>
      <c r="AM274" s="507"/>
      <c r="AN274" s="286"/>
      <c r="AO274" s="507"/>
      <c r="AP274" s="509"/>
      <c r="AQ274" s="634"/>
      <c r="AR274" s="606"/>
      <c r="AS274" s="394"/>
      <c r="AT274" s="393"/>
      <c r="AU274" s="395"/>
      <c r="AV274" s="278"/>
      <c r="AW274" s="278"/>
      <c r="AX274" s="278"/>
      <c r="AY274" s="278"/>
      <c r="AZ274" s="278"/>
      <c r="BA274" s="278"/>
      <c r="BB274" s="278"/>
      <c r="BC274" s="278"/>
      <c r="BD274" s="278"/>
    </row>
    <row r="275" spans="1:56">
      <c r="A275" s="869">
        <v>77</v>
      </c>
      <c r="B275" s="870" t="s">
        <v>666</v>
      </c>
      <c r="C275" s="891" t="s">
        <v>667</v>
      </c>
      <c r="D275" s="892" t="s">
        <v>668</v>
      </c>
      <c r="E275" s="873">
        <v>16.295999999999999</v>
      </c>
      <c r="F275" s="874">
        <v>97776</v>
      </c>
      <c r="G275" s="507"/>
      <c r="H275" s="507"/>
      <c r="I275" s="511"/>
      <c r="J275" s="534"/>
      <c r="K275" s="518"/>
      <c r="L275" s="508"/>
      <c r="M275" s="893"/>
      <c r="N275" s="865"/>
      <c r="O275" s="865"/>
      <c r="P275" s="286"/>
      <c r="Q275" s="518"/>
      <c r="R275" s="866"/>
      <c r="S275" s="865"/>
      <c r="T275" s="865"/>
      <c r="U275" s="865"/>
      <c r="V275" s="286"/>
      <c r="W275" s="518"/>
      <c r="X275" s="866"/>
      <c r="Y275" s="14"/>
      <c r="Z275" s="14"/>
      <c r="AA275" s="14"/>
      <c r="AB275" s="289"/>
      <c r="AC275" s="14"/>
      <c r="AD275" s="622"/>
      <c r="AE275" s="507"/>
      <c r="AF275" s="507"/>
      <c r="AG275" s="907" t="s">
        <v>31</v>
      </c>
      <c r="AH275" s="286">
        <v>1</v>
      </c>
      <c r="AI275" s="518" t="s">
        <v>17</v>
      </c>
      <c r="AJ275" s="907">
        <v>60000</v>
      </c>
      <c r="AK275" s="507"/>
      <c r="AL275" s="507"/>
      <c r="AM275" s="507" t="s">
        <v>482</v>
      </c>
      <c r="AN275" s="286"/>
      <c r="AO275" s="507"/>
      <c r="AP275" s="509"/>
      <c r="AQ275" s="634"/>
      <c r="AR275" s="606"/>
      <c r="AS275" s="394"/>
      <c r="AT275" s="393"/>
      <c r="AU275" s="395"/>
      <c r="AV275" s="278"/>
      <c r="AW275" s="278"/>
      <c r="AX275" s="278"/>
      <c r="AY275" s="278"/>
      <c r="AZ275" s="278"/>
      <c r="BA275" s="278"/>
      <c r="BB275" s="278"/>
      <c r="BC275" s="278"/>
      <c r="BD275" s="278"/>
    </row>
    <row r="276" spans="1:56">
      <c r="A276" s="869"/>
      <c r="B276" s="870"/>
      <c r="C276" s="891"/>
      <c r="D276" s="892"/>
      <c r="E276" s="873"/>
      <c r="F276" s="874"/>
      <c r="G276" s="507"/>
      <c r="H276" s="507"/>
      <c r="I276" s="512"/>
      <c r="J276" s="534"/>
      <c r="K276" s="507"/>
      <c r="L276" s="336"/>
      <c r="M276" s="865"/>
      <c r="N276" s="865"/>
      <c r="O276" s="865"/>
      <c r="P276" s="287"/>
      <c r="Q276" s="507"/>
      <c r="R276" s="866"/>
      <c r="S276" s="865"/>
      <c r="T276" s="865"/>
      <c r="U276" s="865"/>
      <c r="V276" s="287"/>
      <c r="W276" s="507"/>
      <c r="X276" s="866"/>
      <c r="Y276" s="14"/>
      <c r="Z276" s="14"/>
      <c r="AA276" s="14"/>
      <c r="AB276" s="289"/>
      <c r="AC276" s="14"/>
      <c r="AD276" s="622"/>
      <c r="AE276" s="507"/>
      <c r="AF276" s="507"/>
      <c r="AG276" s="907"/>
      <c r="AH276" s="286">
        <f>F275/E275*AH275</f>
        <v>6000</v>
      </c>
      <c r="AI276" s="507" t="s">
        <v>32</v>
      </c>
      <c r="AJ276" s="907"/>
      <c r="AK276" s="507"/>
      <c r="AL276" s="507"/>
      <c r="AM276" s="507"/>
      <c r="AN276" s="286"/>
      <c r="AO276" s="507"/>
      <c r="AP276" s="509"/>
      <c r="AQ276" s="634"/>
      <c r="AR276" s="606"/>
      <c r="AS276" s="394"/>
      <c r="AT276" s="393"/>
      <c r="AU276" s="395"/>
      <c r="AV276" s="278"/>
      <c r="AW276" s="278"/>
      <c r="AX276" s="278"/>
      <c r="AY276" s="278"/>
      <c r="AZ276" s="278"/>
      <c r="BA276" s="278"/>
      <c r="BB276" s="278"/>
      <c r="BC276" s="278"/>
      <c r="BD276" s="278"/>
    </row>
    <row r="277" spans="1:56">
      <c r="A277" s="869">
        <v>78</v>
      </c>
      <c r="B277" s="870" t="s">
        <v>670</v>
      </c>
      <c r="C277" s="891" t="s">
        <v>671</v>
      </c>
      <c r="D277" s="892" t="s">
        <v>672</v>
      </c>
      <c r="E277" s="873">
        <v>17.062000000000001</v>
      </c>
      <c r="F277" s="874">
        <v>102372</v>
      </c>
      <c r="G277" s="865" t="s">
        <v>673</v>
      </c>
      <c r="H277" s="865" t="s">
        <v>674</v>
      </c>
      <c r="I277" s="893" t="s">
        <v>114</v>
      </c>
      <c r="J277" s="274">
        <v>5</v>
      </c>
      <c r="K277" s="518" t="s">
        <v>17</v>
      </c>
      <c r="L277" s="866">
        <f>39736.56974</f>
        <v>39736.569739999999</v>
      </c>
      <c r="M277" s="865" t="s">
        <v>674</v>
      </c>
      <c r="N277" s="865" t="s">
        <v>675</v>
      </c>
      <c r="O277" s="893" t="s">
        <v>114</v>
      </c>
      <c r="P277" s="286">
        <v>6.6</v>
      </c>
      <c r="Q277" s="518" t="s">
        <v>17</v>
      </c>
      <c r="R277" s="866">
        <v>54320</v>
      </c>
      <c r="S277" s="507"/>
      <c r="T277" s="507"/>
      <c r="U277" s="507" t="s">
        <v>482</v>
      </c>
      <c r="V277" s="287"/>
      <c r="W277" s="274"/>
      <c r="X277" s="508"/>
      <c r="Y277" s="507"/>
      <c r="Z277" s="507"/>
      <c r="AA277" s="507" t="s">
        <v>482</v>
      </c>
      <c r="AB277" s="286"/>
      <c r="AC277" s="274"/>
      <c r="AD277" s="509"/>
      <c r="AE277" s="507"/>
      <c r="AF277" s="507"/>
      <c r="AG277" s="507" t="s">
        <v>482</v>
      </c>
      <c r="AH277" s="286"/>
      <c r="AI277" s="507"/>
      <c r="AJ277" s="509"/>
      <c r="AK277" s="507"/>
      <c r="AL277" s="507"/>
      <c r="AM277" s="507" t="s">
        <v>482</v>
      </c>
      <c r="AN277" s="286"/>
      <c r="AO277" s="507"/>
      <c r="AP277" s="509"/>
      <c r="AQ277" s="634"/>
      <c r="AR277" s="606"/>
      <c r="AS277" s="394"/>
      <c r="AT277" s="393"/>
      <c r="AU277" s="395"/>
      <c r="AV277" s="278"/>
      <c r="AW277" s="278"/>
      <c r="AX277" s="278"/>
      <c r="AY277" s="278"/>
      <c r="AZ277" s="278"/>
      <c r="BA277" s="278"/>
      <c r="BB277" s="278"/>
      <c r="BC277" s="278"/>
      <c r="BD277" s="278"/>
    </row>
    <row r="278" spans="1:56">
      <c r="A278" s="869"/>
      <c r="B278" s="870"/>
      <c r="C278" s="891"/>
      <c r="D278" s="892"/>
      <c r="E278" s="873"/>
      <c r="F278" s="874"/>
      <c r="G278" s="865"/>
      <c r="H278" s="865"/>
      <c r="I278" s="916"/>
      <c r="J278" s="534">
        <v>30000</v>
      </c>
      <c r="K278" s="507" t="s">
        <v>32</v>
      </c>
      <c r="L278" s="866"/>
      <c r="M278" s="865"/>
      <c r="N278" s="865"/>
      <c r="O278" s="916"/>
      <c r="P278" s="287">
        <f>F277/E277*P277</f>
        <v>39600</v>
      </c>
      <c r="Q278" s="507" t="s">
        <v>32</v>
      </c>
      <c r="R278" s="866"/>
      <c r="S278" s="507"/>
      <c r="T278" s="507"/>
      <c r="U278" s="507"/>
      <c r="V278" s="287"/>
      <c r="W278" s="274"/>
      <c r="X278" s="508"/>
      <c r="Y278" s="507"/>
      <c r="Z278" s="507"/>
      <c r="AA278" s="507"/>
      <c r="AB278" s="286"/>
      <c r="AC278" s="274"/>
      <c r="AD278" s="509"/>
      <c r="AE278" s="507"/>
      <c r="AF278" s="507"/>
      <c r="AG278" s="507"/>
      <c r="AH278" s="286"/>
      <c r="AI278" s="507"/>
      <c r="AJ278" s="509"/>
      <c r="AK278" s="507"/>
      <c r="AL278" s="507"/>
      <c r="AM278" s="507"/>
      <c r="AN278" s="286"/>
      <c r="AO278" s="507"/>
      <c r="AP278" s="509"/>
      <c r="AQ278" s="634"/>
      <c r="AR278" s="606"/>
      <c r="AS278" s="394"/>
      <c r="AT278" s="393"/>
      <c r="AU278" s="395"/>
      <c r="AV278" s="278"/>
      <c r="AW278" s="278"/>
      <c r="AX278" s="278"/>
      <c r="AY278" s="278"/>
      <c r="AZ278" s="278"/>
      <c r="BA278" s="278"/>
      <c r="BB278" s="278"/>
      <c r="BC278" s="278"/>
      <c r="BD278" s="278"/>
    </row>
    <row r="279" spans="1:56" ht="39">
      <c r="A279" s="869"/>
      <c r="B279" s="870"/>
      <c r="C279" s="891"/>
      <c r="D279" s="892"/>
      <c r="E279" s="873"/>
      <c r="F279" s="874"/>
      <c r="G279" s="865"/>
      <c r="H279" s="865"/>
      <c r="I279" s="512" t="s">
        <v>2682</v>
      </c>
      <c r="J279" s="534">
        <v>1</v>
      </c>
      <c r="K279" s="507" t="s">
        <v>118</v>
      </c>
      <c r="L279" s="336">
        <v>21.75</v>
      </c>
      <c r="M279" s="507"/>
      <c r="N279" s="507"/>
      <c r="O279" s="513"/>
      <c r="P279" s="287"/>
      <c r="Q279" s="507"/>
      <c r="R279" s="508"/>
      <c r="S279" s="507"/>
      <c r="T279" s="507"/>
      <c r="U279" s="507"/>
      <c r="V279" s="287"/>
      <c r="W279" s="274"/>
      <c r="X279" s="508"/>
      <c r="Y279" s="507"/>
      <c r="Z279" s="507"/>
      <c r="AA279" s="507"/>
      <c r="AB279" s="286"/>
      <c r="AC279" s="274"/>
      <c r="AD279" s="509"/>
      <c r="AE279" s="507"/>
      <c r="AF279" s="507"/>
      <c r="AG279" s="507"/>
      <c r="AH279" s="286"/>
      <c r="AI279" s="507"/>
      <c r="AJ279" s="509"/>
      <c r="AK279" s="507"/>
      <c r="AL279" s="507"/>
      <c r="AM279" s="507"/>
      <c r="AN279" s="286"/>
      <c r="AO279" s="507"/>
      <c r="AP279" s="509"/>
      <c r="AQ279" s="634"/>
      <c r="AR279" s="606"/>
      <c r="AS279" s="394"/>
      <c r="AT279" s="393"/>
      <c r="AU279" s="395"/>
      <c r="AV279" s="278"/>
      <c r="AW279" s="278"/>
      <c r="AX279" s="278"/>
      <c r="AY279" s="278"/>
      <c r="AZ279" s="278"/>
      <c r="BA279" s="278"/>
      <c r="BB279" s="278"/>
      <c r="BC279" s="278"/>
      <c r="BD279" s="278"/>
    </row>
    <row r="280" spans="1:56">
      <c r="A280" s="869">
        <v>79</v>
      </c>
      <c r="B280" s="870">
        <v>805795</v>
      </c>
      <c r="C280" s="892" t="s">
        <v>676</v>
      </c>
      <c r="D280" s="892" t="s">
        <v>677</v>
      </c>
      <c r="E280" s="873">
        <v>16.161999999999999</v>
      </c>
      <c r="F280" s="874">
        <v>117336.11999999998</v>
      </c>
      <c r="G280" s="865" t="s">
        <v>678</v>
      </c>
      <c r="H280" s="865" t="s">
        <v>679</v>
      </c>
      <c r="I280" s="893" t="s">
        <v>114</v>
      </c>
      <c r="J280" s="274">
        <v>1</v>
      </c>
      <c r="K280" s="518" t="s">
        <v>17</v>
      </c>
      <c r="L280" s="866">
        <v>12652.955309999999</v>
      </c>
      <c r="M280" s="865" t="s">
        <v>60</v>
      </c>
      <c r="N280" s="865" t="s">
        <v>678</v>
      </c>
      <c r="O280" s="893" t="s">
        <v>114</v>
      </c>
      <c r="P280" s="286">
        <v>12.4</v>
      </c>
      <c r="Q280" s="518" t="s">
        <v>17</v>
      </c>
      <c r="R280" s="866">
        <v>224000</v>
      </c>
      <c r="S280" s="865" t="s">
        <v>60</v>
      </c>
      <c r="T280" s="865" t="s">
        <v>680</v>
      </c>
      <c r="U280" s="893" t="s">
        <v>114</v>
      </c>
      <c r="V280" s="286">
        <v>10.4</v>
      </c>
      <c r="W280" s="518" t="s">
        <v>17</v>
      </c>
      <c r="X280" s="866">
        <f>55677.18/4.7*V280</f>
        <v>123200.5685106383</v>
      </c>
      <c r="Y280" s="507"/>
      <c r="Z280" s="507"/>
      <c r="AA280" s="507" t="s">
        <v>482</v>
      </c>
      <c r="AB280" s="286"/>
      <c r="AC280" s="274"/>
      <c r="AD280" s="509"/>
      <c r="AE280" s="507"/>
      <c r="AF280" s="507"/>
      <c r="AG280" s="507" t="s">
        <v>482</v>
      </c>
      <c r="AH280" s="286"/>
      <c r="AI280" s="507"/>
      <c r="AJ280" s="509"/>
      <c r="AK280" s="507"/>
      <c r="AL280" s="507"/>
      <c r="AM280" s="507" t="s">
        <v>482</v>
      </c>
      <c r="AN280" s="286"/>
      <c r="AO280" s="507"/>
      <c r="AP280" s="509"/>
      <c r="AQ280" s="634"/>
      <c r="AR280" s="606"/>
      <c r="AS280" s="394"/>
      <c r="AT280" s="393"/>
      <c r="AU280" s="395"/>
      <c r="AV280" s="278"/>
      <c r="AW280" s="278"/>
      <c r="AX280" s="278"/>
      <c r="AY280" s="278"/>
      <c r="AZ280" s="278"/>
      <c r="BA280" s="278"/>
      <c r="BB280" s="278"/>
      <c r="BC280" s="278"/>
      <c r="BD280" s="278"/>
    </row>
    <row r="281" spans="1:56">
      <c r="A281" s="869"/>
      <c r="B281" s="870"/>
      <c r="C281" s="892"/>
      <c r="D281" s="892"/>
      <c r="E281" s="873"/>
      <c r="F281" s="874"/>
      <c r="G281" s="865"/>
      <c r="H281" s="865"/>
      <c r="I281" s="916"/>
      <c r="J281" s="534">
        <v>7644</v>
      </c>
      <c r="K281" s="507" t="s">
        <v>32</v>
      </c>
      <c r="L281" s="866"/>
      <c r="M281" s="865"/>
      <c r="N281" s="865"/>
      <c r="O281" s="916"/>
      <c r="P281" s="287">
        <f>F280/E280*P280</f>
        <v>90023.999999999985</v>
      </c>
      <c r="Q281" s="507" t="s">
        <v>32</v>
      </c>
      <c r="R281" s="866"/>
      <c r="S281" s="865"/>
      <c r="T281" s="865"/>
      <c r="U281" s="916"/>
      <c r="V281" s="287">
        <f>F280/E280*V280</f>
        <v>75504</v>
      </c>
      <c r="W281" s="507" t="s">
        <v>32</v>
      </c>
      <c r="X281" s="866"/>
      <c r="Y281" s="507"/>
      <c r="Z281" s="507"/>
      <c r="AA281" s="507"/>
      <c r="AB281" s="286"/>
      <c r="AC281" s="274"/>
      <c r="AD281" s="509"/>
      <c r="AE281" s="507"/>
      <c r="AF281" s="507"/>
      <c r="AG281" s="507"/>
      <c r="AH281" s="286"/>
      <c r="AI281" s="507"/>
      <c r="AJ281" s="509"/>
      <c r="AK281" s="507"/>
      <c r="AL281" s="507"/>
      <c r="AM281" s="507"/>
      <c r="AN281" s="286"/>
      <c r="AO281" s="507"/>
      <c r="AP281" s="509"/>
      <c r="AQ281" s="634"/>
      <c r="AR281" s="606"/>
      <c r="AS281" s="394"/>
      <c r="AT281" s="393"/>
      <c r="AU281" s="395"/>
      <c r="AV281" s="278"/>
      <c r="AW281" s="278"/>
      <c r="AX281" s="278"/>
      <c r="AY281" s="278"/>
      <c r="AZ281" s="278"/>
      <c r="BA281" s="278"/>
      <c r="BB281" s="278"/>
      <c r="BC281" s="278"/>
      <c r="BD281" s="278"/>
    </row>
    <row r="282" spans="1:56">
      <c r="A282" s="869"/>
      <c r="B282" s="870"/>
      <c r="C282" s="892"/>
      <c r="D282" s="892"/>
      <c r="E282" s="873"/>
      <c r="F282" s="874"/>
      <c r="G282" s="865" t="s">
        <v>679</v>
      </c>
      <c r="H282" s="865" t="s">
        <v>681</v>
      </c>
      <c r="I282" s="893" t="s">
        <v>114</v>
      </c>
      <c r="J282" s="274">
        <v>2.762</v>
      </c>
      <c r="K282" s="518" t="s">
        <v>17</v>
      </c>
      <c r="L282" s="866">
        <v>40330.516340000002</v>
      </c>
      <c r="M282" s="515"/>
      <c r="N282" s="515"/>
      <c r="O282" s="516"/>
      <c r="P282" s="517"/>
      <c r="Q282" s="518"/>
      <c r="R282" s="336"/>
      <c r="S282" s="865"/>
      <c r="T282" s="865"/>
      <c r="U282" s="865"/>
      <c r="V282" s="286"/>
      <c r="W282" s="518"/>
      <c r="X282" s="866"/>
      <c r="Y282" s="507"/>
      <c r="Z282" s="507"/>
      <c r="AA282" s="507"/>
      <c r="AB282" s="286"/>
      <c r="AC282" s="274"/>
      <c r="AD282" s="509"/>
      <c r="AE282" s="507"/>
      <c r="AF282" s="507"/>
      <c r="AG282" s="507"/>
      <c r="AH282" s="286"/>
      <c r="AI282" s="507"/>
      <c r="AJ282" s="509"/>
      <c r="AK282" s="507"/>
      <c r="AL282" s="507"/>
      <c r="AM282" s="507"/>
      <c r="AN282" s="286"/>
      <c r="AO282" s="507"/>
      <c r="AP282" s="509"/>
      <c r="AQ282" s="634"/>
      <c r="AR282" s="606"/>
      <c r="AS282" s="394"/>
      <c r="AT282" s="393"/>
      <c r="AU282" s="395"/>
      <c r="AV282" s="278"/>
      <c r="AW282" s="278"/>
      <c r="AX282" s="278"/>
      <c r="AY282" s="278"/>
      <c r="AZ282" s="278"/>
      <c r="BA282" s="278"/>
      <c r="BB282" s="278"/>
      <c r="BC282" s="278"/>
      <c r="BD282" s="278"/>
    </row>
    <row r="283" spans="1:56">
      <c r="A283" s="869"/>
      <c r="B283" s="870"/>
      <c r="C283" s="892"/>
      <c r="D283" s="892"/>
      <c r="E283" s="873"/>
      <c r="F283" s="874"/>
      <c r="G283" s="865"/>
      <c r="H283" s="865"/>
      <c r="I283" s="916"/>
      <c r="J283" s="534">
        <f>J282/E280*F280</f>
        <v>20052.12</v>
      </c>
      <c r="K283" s="507" t="s">
        <v>32</v>
      </c>
      <c r="L283" s="866"/>
      <c r="M283" s="514"/>
      <c r="N283" s="14"/>
      <c r="O283" s="14"/>
      <c r="P283" s="289"/>
      <c r="Q283" s="14"/>
      <c r="R283" s="614"/>
      <c r="S283" s="865"/>
      <c r="T283" s="865"/>
      <c r="U283" s="865"/>
      <c r="V283" s="287"/>
      <c r="W283" s="507"/>
      <c r="X283" s="866"/>
      <c r="Y283" s="507"/>
      <c r="Z283" s="507"/>
      <c r="AA283" s="507"/>
      <c r="AB283" s="286"/>
      <c r="AC283" s="274"/>
      <c r="AD283" s="509"/>
      <c r="AE283" s="507"/>
      <c r="AF283" s="507"/>
      <c r="AG283" s="507"/>
      <c r="AH283" s="286"/>
      <c r="AI283" s="507"/>
      <c r="AJ283" s="509"/>
      <c r="AK283" s="507"/>
      <c r="AL283" s="507"/>
      <c r="AM283" s="507"/>
      <c r="AN283" s="286"/>
      <c r="AO283" s="507"/>
      <c r="AP283" s="509"/>
      <c r="AQ283" s="634"/>
      <c r="AR283" s="606"/>
      <c r="AS283" s="394"/>
      <c r="AT283" s="393"/>
      <c r="AU283" s="395"/>
      <c r="AV283" s="278"/>
      <c r="AW283" s="278"/>
      <c r="AX283" s="278"/>
      <c r="AY283" s="278"/>
      <c r="AZ283" s="278"/>
      <c r="BA283" s="278"/>
      <c r="BB283" s="278"/>
      <c r="BC283" s="278"/>
      <c r="BD283" s="278"/>
    </row>
    <row r="284" spans="1:56" ht="39">
      <c r="A284" s="869"/>
      <c r="B284" s="870"/>
      <c r="C284" s="892"/>
      <c r="D284" s="892"/>
      <c r="E284" s="873"/>
      <c r="F284" s="874"/>
      <c r="G284" s="507" t="s">
        <v>679</v>
      </c>
      <c r="H284" s="507" t="s">
        <v>681</v>
      </c>
      <c r="I284" s="512" t="s">
        <v>2682</v>
      </c>
      <c r="J284" s="534">
        <v>1</v>
      </c>
      <c r="K284" s="507" t="s">
        <v>118</v>
      </c>
      <c r="L284" s="508">
        <v>31.486999999999998</v>
      </c>
      <c r="M284" s="514"/>
      <c r="N284" s="14"/>
      <c r="O284" s="14"/>
      <c r="P284" s="289"/>
      <c r="Q284" s="14"/>
      <c r="R284" s="614"/>
      <c r="S284" s="507"/>
      <c r="T284" s="507"/>
      <c r="U284" s="507"/>
      <c r="V284" s="287"/>
      <c r="W284" s="507"/>
      <c r="X284" s="508"/>
      <c r="Y284" s="507"/>
      <c r="Z284" s="507"/>
      <c r="AA284" s="507"/>
      <c r="AB284" s="286"/>
      <c r="AC284" s="274"/>
      <c r="AD284" s="509"/>
      <c r="AE284" s="507"/>
      <c r="AF284" s="507"/>
      <c r="AG284" s="507"/>
      <c r="AH284" s="286"/>
      <c r="AI284" s="507"/>
      <c r="AJ284" s="509"/>
      <c r="AK284" s="507"/>
      <c r="AL284" s="507"/>
      <c r="AM284" s="507"/>
      <c r="AN284" s="286"/>
      <c r="AO284" s="507"/>
      <c r="AP284" s="509"/>
      <c r="AQ284" s="634"/>
      <c r="AR284" s="606"/>
      <c r="AS284" s="394"/>
      <c r="AT284" s="393"/>
      <c r="AU284" s="395"/>
      <c r="AV284" s="278"/>
      <c r="AW284" s="278"/>
      <c r="AX284" s="278"/>
      <c r="AY284" s="278"/>
      <c r="AZ284" s="278"/>
      <c r="BA284" s="278"/>
      <c r="BB284" s="278"/>
      <c r="BC284" s="278"/>
      <c r="BD284" s="278"/>
    </row>
    <row r="285" spans="1:56" ht="78" customHeight="1">
      <c r="A285" s="869">
        <v>80</v>
      </c>
      <c r="B285" s="870" t="s">
        <v>682</v>
      </c>
      <c r="C285" s="891" t="s">
        <v>683</v>
      </c>
      <c r="D285" s="892" t="s">
        <v>684</v>
      </c>
      <c r="E285" s="873">
        <v>12.15</v>
      </c>
      <c r="F285" s="874">
        <v>72900</v>
      </c>
      <c r="G285" s="507"/>
      <c r="H285" s="507"/>
      <c r="I285" s="511"/>
      <c r="J285" s="534"/>
      <c r="K285" s="518"/>
      <c r="L285" s="508"/>
      <c r="M285" s="507"/>
      <c r="N285" s="507"/>
      <c r="O285" s="515"/>
      <c r="P285" s="521"/>
      <c r="Q285" s="513"/>
      <c r="R285" s="336"/>
      <c r="S285" s="507"/>
      <c r="T285" s="507"/>
      <c r="U285" s="507" t="s">
        <v>482</v>
      </c>
      <c r="V285" s="287"/>
      <c r="W285" s="274"/>
      <c r="X285" s="508"/>
      <c r="Y285" s="507"/>
      <c r="Z285" s="507"/>
      <c r="AA285" s="507" t="s">
        <v>482</v>
      </c>
      <c r="AB285" s="286"/>
      <c r="AC285" s="274"/>
      <c r="AD285" s="509"/>
      <c r="AE285" s="507"/>
      <c r="AF285" s="507"/>
      <c r="AG285" s="507" t="s">
        <v>482</v>
      </c>
      <c r="AH285" s="286"/>
      <c r="AI285" s="507"/>
      <c r="AJ285" s="509"/>
      <c r="AK285" s="129"/>
      <c r="AL285" s="129"/>
      <c r="AM285" s="865" t="s">
        <v>31</v>
      </c>
      <c r="AN285" s="286">
        <v>2.2000000000000002</v>
      </c>
      <c r="AO285" s="518" t="s">
        <v>17</v>
      </c>
      <c r="AP285" s="907">
        <v>132000</v>
      </c>
      <c r="AQ285" s="634"/>
      <c r="AR285" s="606"/>
      <c r="AS285" s="394"/>
      <c r="AT285" s="393"/>
      <c r="AU285" s="395"/>
      <c r="AV285" s="278"/>
      <c r="AW285" s="278"/>
      <c r="AX285" s="278"/>
      <c r="AY285" s="278"/>
      <c r="AZ285" s="278"/>
      <c r="BA285" s="278"/>
      <c r="BB285" s="278"/>
      <c r="BC285" s="278"/>
      <c r="BD285" s="278"/>
    </row>
    <row r="286" spans="1:56" ht="78" customHeight="1">
      <c r="A286" s="869"/>
      <c r="B286" s="870"/>
      <c r="C286" s="891"/>
      <c r="D286" s="892"/>
      <c r="E286" s="873"/>
      <c r="F286" s="874"/>
      <c r="G286" s="507"/>
      <c r="H286" s="507"/>
      <c r="I286" s="511"/>
      <c r="J286" s="534"/>
      <c r="K286" s="518"/>
      <c r="L286" s="508"/>
      <c r="M286" s="507"/>
      <c r="N286" s="507"/>
      <c r="O286" s="515"/>
      <c r="P286" s="521"/>
      <c r="Q286" s="513"/>
      <c r="R286" s="336"/>
      <c r="S286" s="507"/>
      <c r="T286" s="507"/>
      <c r="U286" s="507"/>
      <c r="V286" s="287"/>
      <c r="W286" s="274"/>
      <c r="X286" s="508"/>
      <c r="Y286" s="507"/>
      <c r="Z286" s="507"/>
      <c r="AA286" s="507"/>
      <c r="AB286" s="286"/>
      <c r="AC286" s="274"/>
      <c r="AD286" s="509"/>
      <c r="AE286" s="507"/>
      <c r="AF286" s="507"/>
      <c r="AG286" s="507"/>
      <c r="AH286" s="286"/>
      <c r="AI286" s="507"/>
      <c r="AJ286" s="509"/>
      <c r="AK286" s="129"/>
      <c r="AL286" s="129"/>
      <c r="AM286" s="865"/>
      <c r="AN286" s="286">
        <f>F285/E285*AN285</f>
        <v>13200.000000000002</v>
      </c>
      <c r="AO286" s="507" t="s">
        <v>32</v>
      </c>
      <c r="AP286" s="907"/>
      <c r="AQ286" s="634"/>
      <c r="AR286" s="606"/>
      <c r="AS286" s="394"/>
      <c r="AT286" s="393"/>
      <c r="AU286" s="395"/>
      <c r="AV286" s="278"/>
      <c r="AW286" s="278"/>
      <c r="AX286" s="278"/>
      <c r="AY286" s="278"/>
      <c r="AZ286" s="278"/>
      <c r="BA286" s="278"/>
      <c r="BB286" s="278"/>
      <c r="BC286" s="278"/>
      <c r="BD286" s="278"/>
    </row>
    <row r="287" spans="1:56">
      <c r="A287" s="869">
        <v>81</v>
      </c>
      <c r="B287" s="870">
        <v>805739</v>
      </c>
      <c r="C287" s="891" t="s">
        <v>685</v>
      </c>
      <c r="D287" s="892" t="s">
        <v>686</v>
      </c>
      <c r="E287" s="873">
        <v>16.632999999999999</v>
      </c>
      <c r="F287" s="874">
        <v>108114.5</v>
      </c>
      <c r="G287" s="865" t="s">
        <v>687</v>
      </c>
      <c r="H287" s="865" t="s">
        <v>688</v>
      </c>
      <c r="I287" s="893" t="s">
        <v>114</v>
      </c>
      <c r="J287" s="274">
        <v>5</v>
      </c>
      <c r="K287" s="518" t="s">
        <v>17</v>
      </c>
      <c r="L287" s="866">
        <f>66585.20018</f>
        <v>66585.20018</v>
      </c>
      <c r="M287" s="865"/>
      <c r="N287" s="865"/>
      <c r="O287" s="865"/>
      <c r="P287" s="286"/>
      <c r="Q287" s="518"/>
      <c r="R287" s="866"/>
      <c r="S287" s="865" t="s">
        <v>60</v>
      </c>
      <c r="T287" s="865" t="s">
        <v>689</v>
      </c>
      <c r="U287" s="893" t="s">
        <v>114</v>
      </c>
      <c r="V287" s="286">
        <v>6</v>
      </c>
      <c r="W287" s="518" t="s">
        <v>17</v>
      </c>
      <c r="X287" s="866">
        <v>73150</v>
      </c>
      <c r="Y287" s="507"/>
      <c r="Z287" s="507"/>
      <c r="AA287" s="865"/>
      <c r="AB287" s="286"/>
      <c r="AC287" s="518"/>
      <c r="AD287" s="907"/>
      <c r="AE287" s="507"/>
      <c r="AF287" s="507"/>
      <c r="AG287" s="507" t="s">
        <v>482</v>
      </c>
      <c r="AH287" s="286"/>
      <c r="AI287" s="507"/>
      <c r="AJ287" s="509"/>
      <c r="AK287" s="507"/>
      <c r="AL287" s="507"/>
      <c r="AM287" s="507" t="s">
        <v>482</v>
      </c>
      <c r="AN287" s="286"/>
      <c r="AO287" s="507"/>
      <c r="AP287" s="509"/>
      <c r="AQ287" s="634"/>
      <c r="AR287" s="606"/>
      <c r="AS287" s="394"/>
      <c r="AT287" s="393"/>
      <c r="AU287" s="395"/>
      <c r="AV287" s="278"/>
      <c r="AW287" s="278"/>
      <c r="AX287" s="278"/>
      <c r="AY287" s="278"/>
      <c r="AZ287" s="278"/>
      <c r="BA287" s="278"/>
      <c r="BB287" s="278"/>
      <c r="BC287" s="278"/>
      <c r="BD287" s="278"/>
    </row>
    <row r="288" spans="1:56">
      <c r="A288" s="869"/>
      <c r="B288" s="870"/>
      <c r="C288" s="891"/>
      <c r="D288" s="892"/>
      <c r="E288" s="873"/>
      <c r="F288" s="874"/>
      <c r="G288" s="865"/>
      <c r="H288" s="865"/>
      <c r="I288" s="916"/>
      <c r="J288" s="534">
        <v>30897</v>
      </c>
      <c r="K288" s="507" t="s">
        <v>32</v>
      </c>
      <c r="L288" s="866"/>
      <c r="M288" s="865"/>
      <c r="N288" s="865"/>
      <c r="O288" s="865"/>
      <c r="P288" s="287"/>
      <c r="Q288" s="507"/>
      <c r="R288" s="866"/>
      <c r="S288" s="865"/>
      <c r="T288" s="865"/>
      <c r="U288" s="916"/>
      <c r="V288" s="287">
        <f>F287/E287*V287</f>
        <v>39000</v>
      </c>
      <c r="W288" s="507" t="s">
        <v>32</v>
      </c>
      <c r="X288" s="866"/>
      <c r="Y288" s="507"/>
      <c r="Z288" s="507"/>
      <c r="AA288" s="865"/>
      <c r="AB288" s="287"/>
      <c r="AC288" s="507"/>
      <c r="AD288" s="907"/>
      <c r="AE288" s="507"/>
      <c r="AF288" s="507"/>
      <c r="AG288" s="507"/>
      <c r="AH288" s="286"/>
      <c r="AI288" s="507"/>
      <c r="AJ288" s="509"/>
      <c r="AK288" s="507"/>
      <c r="AL288" s="507"/>
      <c r="AM288" s="507"/>
      <c r="AN288" s="286"/>
      <c r="AO288" s="507"/>
      <c r="AP288" s="509"/>
      <c r="AQ288" s="634"/>
      <c r="AR288" s="606"/>
      <c r="AS288" s="394"/>
      <c r="AT288" s="393"/>
      <c r="AU288" s="395"/>
      <c r="AV288" s="278"/>
      <c r="AW288" s="278"/>
      <c r="AX288" s="278"/>
      <c r="AY288" s="278"/>
      <c r="AZ288" s="278"/>
      <c r="BA288" s="278"/>
      <c r="BB288" s="278"/>
      <c r="BC288" s="278"/>
      <c r="BD288" s="278"/>
    </row>
    <row r="289" spans="1:56" ht="39">
      <c r="A289" s="869"/>
      <c r="B289" s="870"/>
      <c r="C289" s="891"/>
      <c r="D289" s="892"/>
      <c r="E289" s="873"/>
      <c r="F289" s="874"/>
      <c r="G289" s="865"/>
      <c r="H289" s="865"/>
      <c r="I289" s="512" t="s">
        <v>2682</v>
      </c>
      <c r="J289" s="534">
        <v>1</v>
      </c>
      <c r="K289" s="507" t="s">
        <v>118</v>
      </c>
      <c r="L289" s="336">
        <v>25</v>
      </c>
      <c r="M289" s="507"/>
      <c r="N289" s="507"/>
      <c r="O289" s="507"/>
      <c r="P289" s="287"/>
      <c r="Q289" s="507"/>
      <c r="R289" s="508"/>
      <c r="S289" s="507"/>
      <c r="T289" s="507"/>
      <c r="U289" s="507"/>
      <c r="V289" s="287"/>
      <c r="W289" s="507"/>
      <c r="X289" s="508"/>
      <c r="Y289" s="507"/>
      <c r="Z289" s="507"/>
      <c r="AA289" s="507"/>
      <c r="AB289" s="287"/>
      <c r="AC289" s="507"/>
      <c r="AD289" s="509"/>
      <c r="AE289" s="507"/>
      <c r="AF289" s="507"/>
      <c r="AG289" s="507"/>
      <c r="AH289" s="286"/>
      <c r="AI289" s="507"/>
      <c r="AJ289" s="509"/>
      <c r="AK289" s="507"/>
      <c r="AL289" s="507"/>
      <c r="AM289" s="507"/>
      <c r="AN289" s="286"/>
      <c r="AO289" s="507"/>
      <c r="AP289" s="509"/>
      <c r="AQ289" s="634"/>
      <c r="AR289" s="606"/>
      <c r="AS289" s="394"/>
      <c r="AT289" s="393"/>
      <c r="AU289" s="395"/>
      <c r="AV289" s="278"/>
      <c r="AW289" s="278"/>
      <c r="AX289" s="278"/>
      <c r="AY289" s="278"/>
      <c r="AZ289" s="278"/>
      <c r="BA289" s="278"/>
      <c r="BB289" s="278"/>
      <c r="BC289" s="278"/>
      <c r="BD289" s="278"/>
    </row>
    <row r="290" spans="1:56">
      <c r="A290" s="869"/>
      <c r="B290" s="870"/>
      <c r="C290" s="891"/>
      <c r="D290" s="892"/>
      <c r="E290" s="873"/>
      <c r="F290" s="874"/>
      <c r="G290" s="865" t="s">
        <v>690</v>
      </c>
      <c r="H290" s="865" t="s">
        <v>687</v>
      </c>
      <c r="I290" s="893" t="s">
        <v>114</v>
      </c>
      <c r="J290" s="276">
        <v>3</v>
      </c>
      <c r="K290" s="518" t="s">
        <v>17</v>
      </c>
      <c r="L290" s="866">
        <v>5764.9578300000003</v>
      </c>
      <c r="M290" s="507"/>
      <c r="N290" s="507"/>
      <c r="O290" s="507"/>
      <c r="P290" s="287"/>
      <c r="Q290" s="507"/>
      <c r="R290" s="508"/>
      <c r="S290" s="507"/>
      <c r="T290" s="507"/>
      <c r="U290" s="507"/>
      <c r="V290" s="287"/>
      <c r="W290" s="507"/>
      <c r="X290" s="508"/>
      <c r="Y290" s="507"/>
      <c r="Z290" s="507"/>
      <c r="AA290" s="507"/>
      <c r="AB290" s="287"/>
      <c r="AC290" s="507"/>
      <c r="AD290" s="509"/>
      <c r="AE290" s="507"/>
      <c r="AF290" s="507"/>
      <c r="AG290" s="507"/>
      <c r="AH290" s="286"/>
      <c r="AI290" s="507"/>
      <c r="AJ290" s="509"/>
      <c r="AK290" s="507"/>
      <c r="AL290" s="507"/>
      <c r="AM290" s="507"/>
      <c r="AN290" s="286"/>
      <c r="AO290" s="507"/>
      <c r="AP290" s="509"/>
      <c r="AQ290" s="634"/>
      <c r="AR290" s="606"/>
      <c r="AS290" s="394"/>
      <c r="AT290" s="393"/>
      <c r="AU290" s="395"/>
      <c r="AV290" s="278"/>
      <c r="AW290" s="278"/>
      <c r="AX290" s="278"/>
      <c r="AY290" s="278"/>
      <c r="AZ290" s="278"/>
      <c r="BA290" s="278"/>
      <c r="BB290" s="278"/>
      <c r="BC290" s="278"/>
      <c r="BD290" s="278"/>
    </row>
    <row r="291" spans="1:56">
      <c r="A291" s="869"/>
      <c r="B291" s="870"/>
      <c r="C291" s="891"/>
      <c r="D291" s="892"/>
      <c r="E291" s="873"/>
      <c r="F291" s="874"/>
      <c r="G291" s="865"/>
      <c r="H291" s="865"/>
      <c r="I291" s="916"/>
      <c r="J291" s="274">
        <f>J290*F287/E287</f>
        <v>19500</v>
      </c>
      <c r="K291" s="507" t="s">
        <v>32</v>
      </c>
      <c r="L291" s="866"/>
      <c r="M291" s="507"/>
      <c r="N291" s="507"/>
      <c r="O291" s="507"/>
      <c r="P291" s="287"/>
      <c r="Q291" s="507"/>
      <c r="R291" s="508"/>
      <c r="S291" s="507"/>
      <c r="T291" s="507"/>
      <c r="U291" s="507"/>
      <c r="V291" s="287"/>
      <c r="W291" s="507"/>
      <c r="X291" s="508"/>
      <c r="Y291" s="507"/>
      <c r="Z291" s="507"/>
      <c r="AA291" s="507"/>
      <c r="AB291" s="287"/>
      <c r="AC291" s="507"/>
      <c r="AD291" s="509"/>
      <c r="AE291" s="507"/>
      <c r="AF291" s="507"/>
      <c r="AG291" s="507"/>
      <c r="AH291" s="286"/>
      <c r="AI291" s="507"/>
      <c r="AJ291" s="509"/>
      <c r="AK291" s="507"/>
      <c r="AL291" s="507"/>
      <c r="AM291" s="507"/>
      <c r="AN291" s="286"/>
      <c r="AO291" s="507"/>
      <c r="AP291" s="509"/>
      <c r="AQ291" s="634"/>
      <c r="AR291" s="606"/>
      <c r="AS291" s="394"/>
      <c r="AT291" s="393"/>
      <c r="AU291" s="395"/>
      <c r="AV291" s="278"/>
      <c r="AW291" s="278"/>
      <c r="AX291" s="278"/>
      <c r="AY291" s="278"/>
      <c r="AZ291" s="278"/>
      <c r="BA291" s="278"/>
      <c r="BB291" s="278"/>
      <c r="BC291" s="278"/>
      <c r="BD291" s="278"/>
    </row>
    <row r="292" spans="1:56">
      <c r="A292" s="869"/>
      <c r="B292" s="870"/>
      <c r="C292" s="891"/>
      <c r="D292" s="892"/>
      <c r="E292" s="873"/>
      <c r="F292" s="874"/>
      <c r="G292" s="865" t="s">
        <v>688</v>
      </c>
      <c r="H292" s="865" t="s">
        <v>691</v>
      </c>
      <c r="I292" s="893" t="s">
        <v>114</v>
      </c>
      <c r="J292" s="276">
        <v>2</v>
      </c>
      <c r="K292" s="518" t="s">
        <v>17</v>
      </c>
      <c r="L292" s="866">
        <v>54558.892310000003</v>
      </c>
      <c r="M292" s="865"/>
      <c r="N292" s="865"/>
      <c r="O292" s="865"/>
      <c r="P292" s="286"/>
      <c r="Q292" s="518"/>
      <c r="R292" s="866"/>
      <c r="S292" s="507"/>
      <c r="T292" s="507"/>
      <c r="U292" s="507"/>
      <c r="V292" s="287"/>
      <c r="W292" s="507"/>
      <c r="X292" s="508"/>
      <c r="Y292" s="507"/>
      <c r="Z292" s="507"/>
      <c r="AA292" s="507"/>
      <c r="AB292" s="287"/>
      <c r="AC292" s="507"/>
      <c r="AD292" s="509"/>
      <c r="AE292" s="507"/>
      <c r="AF292" s="507"/>
      <c r="AG292" s="507"/>
      <c r="AH292" s="286"/>
      <c r="AI292" s="507"/>
      <c r="AJ292" s="509"/>
      <c r="AK292" s="507"/>
      <c r="AL292" s="507"/>
      <c r="AM292" s="507"/>
      <c r="AN292" s="286"/>
      <c r="AO292" s="507"/>
      <c r="AP292" s="509"/>
      <c r="AQ292" s="634"/>
      <c r="AR292" s="606"/>
      <c r="AS292" s="394"/>
      <c r="AT292" s="393"/>
      <c r="AU292" s="395"/>
      <c r="AV292" s="278"/>
      <c r="AW292" s="278"/>
      <c r="AX292" s="278"/>
      <c r="AY292" s="278"/>
      <c r="AZ292" s="278"/>
      <c r="BA292" s="278"/>
      <c r="BB292" s="278"/>
      <c r="BC292" s="278"/>
      <c r="BD292" s="278"/>
    </row>
    <row r="293" spans="1:56">
      <c r="A293" s="869"/>
      <c r="B293" s="870"/>
      <c r="C293" s="891"/>
      <c r="D293" s="892"/>
      <c r="E293" s="873"/>
      <c r="F293" s="874"/>
      <c r="G293" s="865"/>
      <c r="H293" s="865"/>
      <c r="I293" s="916"/>
      <c r="J293" s="274">
        <f>J292*F287/E287</f>
        <v>13000</v>
      </c>
      <c r="K293" s="507" t="s">
        <v>32</v>
      </c>
      <c r="L293" s="866"/>
      <c r="M293" s="865"/>
      <c r="N293" s="865"/>
      <c r="O293" s="865"/>
      <c r="P293" s="287"/>
      <c r="Q293" s="507"/>
      <c r="R293" s="866"/>
      <c r="S293" s="507"/>
      <c r="T293" s="507"/>
      <c r="U293" s="507"/>
      <c r="V293" s="287"/>
      <c r="W293" s="507"/>
      <c r="X293" s="508"/>
      <c r="Y293" s="507"/>
      <c r="Z293" s="507"/>
      <c r="AA293" s="507"/>
      <c r="AB293" s="287"/>
      <c r="AC293" s="507"/>
      <c r="AD293" s="509"/>
      <c r="AE293" s="507"/>
      <c r="AF293" s="507"/>
      <c r="AG293" s="507"/>
      <c r="AH293" s="286"/>
      <c r="AI293" s="507"/>
      <c r="AJ293" s="509"/>
      <c r="AK293" s="507"/>
      <c r="AL293" s="507"/>
      <c r="AM293" s="507"/>
      <c r="AN293" s="286"/>
      <c r="AO293" s="507"/>
      <c r="AP293" s="509"/>
      <c r="AQ293" s="634"/>
      <c r="AR293" s="606"/>
      <c r="AS293" s="394"/>
      <c r="AT293" s="393"/>
      <c r="AU293" s="395"/>
      <c r="AV293" s="278"/>
      <c r="AW293" s="278"/>
      <c r="AX293" s="278"/>
      <c r="AY293" s="278"/>
      <c r="AZ293" s="278"/>
      <c r="BA293" s="278"/>
      <c r="BB293" s="278"/>
      <c r="BC293" s="278"/>
      <c r="BD293" s="278"/>
    </row>
    <row r="294" spans="1:56" ht="39">
      <c r="A294" s="869"/>
      <c r="B294" s="870"/>
      <c r="C294" s="891"/>
      <c r="D294" s="892"/>
      <c r="E294" s="873"/>
      <c r="F294" s="874"/>
      <c r="G294" s="507" t="s">
        <v>690</v>
      </c>
      <c r="H294" s="507" t="s">
        <v>691</v>
      </c>
      <c r="I294" s="512" t="s">
        <v>2682</v>
      </c>
      <c r="J294" s="534">
        <v>1</v>
      </c>
      <c r="K294" s="507" t="s">
        <v>118</v>
      </c>
      <c r="L294" s="336">
        <v>25</v>
      </c>
      <c r="M294" s="507"/>
      <c r="N294" s="507"/>
      <c r="O294" s="507"/>
      <c r="P294" s="287"/>
      <c r="Q294" s="507"/>
      <c r="R294" s="508"/>
      <c r="S294" s="507"/>
      <c r="T294" s="507"/>
      <c r="U294" s="507"/>
      <c r="V294" s="287"/>
      <c r="W294" s="507"/>
      <c r="X294" s="508"/>
      <c r="Y294" s="507"/>
      <c r="Z294" s="507"/>
      <c r="AA294" s="507"/>
      <c r="AB294" s="287"/>
      <c r="AC294" s="507"/>
      <c r="AD294" s="509"/>
      <c r="AE294" s="507"/>
      <c r="AF294" s="507"/>
      <c r="AG294" s="507"/>
      <c r="AH294" s="286"/>
      <c r="AI294" s="507"/>
      <c r="AJ294" s="509"/>
      <c r="AK294" s="507"/>
      <c r="AL294" s="507"/>
      <c r="AM294" s="507"/>
      <c r="AN294" s="286"/>
      <c r="AO294" s="507"/>
      <c r="AP294" s="509"/>
      <c r="AQ294" s="634"/>
      <c r="AR294" s="606"/>
      <c r="AS294" s="394"/>
      <c r="AT294" s="393"/>
      <c r="AU294" s="395"/>
      <c r="AV294" s="278"/>
      <c r="AW294" s="278"/>
      <c r="AX294" s="278"/>
      <c r="AY294" s="278"/>
      <c r="AZ294" s="278"/>
      <c r="BA294" s="278"/>
      <c r="BB294" s="278"/>
      <c r="BC294" s="278"/>
      <c r="BD294" s="278"/>
    </row>
    <row r="295" spans="1:56">
      <c r="A295" s="869">
        <v>82</v>
      </c>
      <c r="B295" s="870" t="s">
        <v>83</v>
      </c>
      <c r="C295" s="892" t="s">
        <v>692</v>
      </c>
      <c r="D295" s="892" t="s">
        <v>693</v>
      </c>
      <c r="E295" s="873">
        <v>83.594999999999999</v>
      </c>
      <c r="F295" s="874">
        <v>738979.79999999993</v>
      </c>
      <c r="G295" s="908" t="s">
        <v>694</v>
      </c>
      <c r="H295" s="908" t="s">
        <v>695</v>
      </c>
      <c r="I295" s="914" t="s">
        <v>31</v>
      </c>
      <c r="J295" s="275">
        <v>6.69</v>
      </c>
      <c r="K295" s="518" t="s">
        <v>17</v>
      </c>
      <c r="L295" s="909">
        <v>163871.14885999999</v>
      </c>
      <c r="M295" s="908"/>
      <c r="N295" s="908"/>
      <c r="O295" s="908"/>
      <c r="P295" s="517"/>
      <c r="Q295" s="518"/>
      <c r="R295" s="909"/>
      <c r="S295" s="507"/>
      <c r="T295" s="507"/>
      <c r="U295" s="515"/>
      <c r="V295" s="287"/>
      <c r="W295" s="274"/>
      <c r="X295" s="336"/>
      <c r="Y295" s="865" t="s">
        <v>699</v>
      </c>
      <c r="Z295" s="865" t="s">
        <v>2985</v>
      </c>
      <c r="AA295" s="865" t="s">
        <v>31</v>
      </c>
      <c r="AB295" s="286">
        <v>9.4</v>
      </c>
      <c r="AC295" s="518" t="s">
        <v>17</v>
      </c>
      <c r="AD295" s="907">
        <v>421300</v>
      </c>
      <c r="AE295" s="507"/>
      <c r="AF295" s="507"/>
      <c r="AG295" s="507" t="s">
        <v>482</v>
      </c>
      <c r="AH295" s="286"/>
      <c r="AI295" s="507"/>
      <c r="AJ295" s="509"/>
      <c r="AK295" s="507"/>
      <c r="AL295" s="507"/>
      <c r="AM295" s="507" t="s">
        <v>482</v>
      </c>
      <c r="AN295" s="286"/>
      <c r="AO295" s="507"/>
      <c r="AP295" s="509"/>
      <c r="AQ295" s="634"/>
      <c r="AR295" s="606"/>
      <c r="AS295" s="394"/>
      <c r="AT295" s="393"/>
      <c r="AU295" s="395"/>
      <c r="AV295" s="278"/>
      <c r="AW295" s="278"/>
      <c r="AX295" s="278"/>
      <c r="AY295" s="278"/>
      <c r="AZ295" s="278"/>
      <c r="BA295" s="278"/>
      <c r="BB295" s="278"/>
      <c r="BC295" s="278"/>
      <c r="BD295" s="278"/>
    </row>
    <row r="296" spans="1:56">
      <c r="A296" s="869"/>
      <c r="B296" s="870"/>
      <c r="C296" s="892"/>
      <c r="D296" s="892"/>
      <c r="E296" s="873"/>
      <c r="F296" s="874"/>
      <c r="G296" s="908"/>
      <c r="H296" s="908"/>
      <c r="I296" s="894"/>
      <c r="J296" s="136">
        <v>65389.04</v>
      </c>
      <c r="K296" s="507" t="s">
        <v>32</v>
      </c>
      <c r="L296" s="909"/>
      <c r="M296" s="908"/>
      <c r="N296" s="908"/>
      <c r="O296" s="975"/>
      <c r="P296" s="521"/>
      <c r="Q296" s="507"/>
      <c r="R296" s="909"/>
      <c r="S296" s="507"/>
      <c r="T296" s="507"/>
      <c r="U296" s="515"/>
      <c r="V296" s="287"/>
      <c r="W296" s="274"/>
      <c r="X296" s="336"/>
      <c r="Y296" s="865"/>
      <c r="Z296" s="865"/>
      <c r="AA296" s="865"/>
      <c r="AB296" s="287">
        <f>F295/E295*AB295</f>
        <v>83096</v>
      </c>
      <c r="AC296" s="507" t="s">
        <v>32</v>
      </c>
      <c r="AD296" s="907"/>
      <c r="AE296" s="507"/>
      <c r="AF296" s="507"/>
      <c r="AG296" s="507"/>
      <c r="AH296" s="286"/>
      <c r="AI296" s="507"/>
      <c r="AJ296" s="509"/>
      <c r="AK296" s="507"/>
      <c r="AL296" s="507"/>
      <c r="AM296" s="507"/>
      <c r="AN296" s="286"/>
      <c r="AO296" s="507"/>
      <c r="AP296" s="509"/>
      <c r="AQ296" s="634"/>
      <c r="AR296" s="606"/>
      <c r="AS296" s="394"/>
      <c r="AT296" s="393"/>
      <c r="AU296" s="395"/>
      <c r="AV296" s="278"/>
      <c r="AW296" s="278"/>
      <c r="AX296" s="278"/>
      <c r="AY296" s="278"/>
      <c r="AZ296" s="278"/>
      <c r="BA296" s="278"/>
      <c r="BB296" s="278"/>
      <c r="BC296" s="278"/>
      <c r="BD296" s="278"/>
    </row>
    <row r="297" spans="1:56" ht="39">
      <c r="A297" s="869"/>
      <c r="B297" s="870"/>
      <c r="C297" s="892"/>
      <c r="D297" s="892"/>
      <c r="E297" s="873"/>
      <c r="F297" s="874"/>
      <c r="G297" s="908"/>
      <c r="H297" s="908"/>
      <c r="I297" s="512" t="s">
        <v>2682</v>
      </c>
      <c r="J297" s="534">
        <v>1</v>
      </c>
      <c r="K297" s="507" t="s">
        <v>118</v>
      </c>
      <c r="L297" s="336">
        <v>80.275999999999996</v>
      </c>
      <c r="M297" s="515"/>
      <c r="N297" s="515"/>
      <c r="O297" s="513"/>
      <c r="P297" s="521"/>
      <c r="Q297" s="507"/>
      <c r="R297" s="336"/>
      <c r="S297" s="507"/>
      <c r="T297" s="507"/>
      <c r="U297" s="515"/>
      <c r="V297" s="287"/>
      <c r="W297" s="274"/>
      <c r="X297" s="336"/>
      <c r="Y297" s="507"/>
      <c r="Z297" s="507"/>
      <c r="AA297" s="507"/>
      <c r="AB297" s="287"/>
      <c r="AC297" s="507"/>
      <c r="AD297" s="509"/>
      <c r="AE297" s="507"/>
      <c r="AF297" s="507"/>
      <c r="AG297" s="507"/>
      <c r="AH297" s="286"/>
      <c r="AI297" s="507"/>
      <c r="AJ297" s="509"/>
      <c r="AK297" s="507"/>
      <c r="AL297" s="507"/>
      <c r="AM297" s="507"/>
      <c r="AN297" s="286"/>
      <c r="AO297" s="507"/>
      <c r="AP297" s="509"/>
      <c r="AQ297" s="634"/>
      <c r="AR297" s="606"/>
      <c r="AS297" s="394"/>
      <c r="AT297" s="393"/>
      <c r="AU297" s="395"/>
      <c r="AV297" s="278"/>
      <c r="AW297" s="278"/>
      <c r="AX297" s="278"/>
      <c r="AY297" s="278"/>
      <c r="AZ297" s="278"/>
      <c r="BA297" s="278"/>
      <c r="BB297" s="278"/>
      <c r="BC297" s="278"/>
      <c r="BD297" s="278"/>
    </row>
    <row r="298" spans="1:56">
      <c r="A298" s="869"/>
      <c r="B298" s="870"/>
      <c r="C298" s="892"/>
      <c r="D298" s="892"/>
      <c r="E298" s="873"/>
      <c r="F298" s="874"/>
      <c r="G298" s="515" t="s">
        <v>696</v>
      </c>
      <c r="H298" s="515" t="s">
        <v>697</v>
      </c>
      <c r="I298" s="893" t="s">
        <v>114</v>
      </c>
      <c r="J298" s="275">
        <v>13.664999999999999</v>
      </c>
      <c r="K298" s="518" t="s">
        <v>17</v>
      </c>
      <c r="L298" s="909">
        <v>193799.36663999999</v>
      </c>
      <c r="M298" s="865"/>
      <c r="N298" s="865"/>
      <c r="O298" s="865"/>
      <c r="P298" s="286"/>
      <c r="Q298" s="518"/>
      <c r="R298" s="866"/>
      <c r="S298" s="865" t="s">
        <v>698</v>
      </c>
      <c r="T298" s="865" t="s">
        <v>699</v>
      </c>
      <c r="U298" s="865" t="s">
        <v>31</v>
      </c>
      <c r="V298" s="286">
        <v>6.5</v>
      </c>
      <c r="W298" s="518" t="s">
        <v>17</v>
      </c>
      <c r="X298" s="866">
        <f>222625-14500</f>
        <v>208125</v>
      </c>
      <c r="Y298" s="507"/>
      <c r="Z298" s="507"/>
      <c r="AA298" s="507"/>
      <c r="AB298" s="287"/>
      <c r="AC298" s="507"/>
      <c r="AD298" s="509"/>
      <c r="AE298" s="507"/>
      <c r="AF298" s="507"/>
      <c r="AG298" s="507"/>
      <c r="AH298" s="286"/>
      <c r="AI298" s="507"/>
      <c r="AJ298" s="509"/>
      <c r="AK298" s="507"/>
      <c r="AL298" s="507"/>
      <c r="AM298" s="507"/>
      <c r="AN298" s="286"/>
      <c r="AO298" s="507"/>
      <c r="AP298" s="509"/>
      <c r="AQ298" s="634"/>
      <c r="AR298" s="606"/>
      <c r="AS298" s="394"/>
      <c r="AT298" s="393"/>
      <c r="AU298" s="395"/>
      <c r="AV298" s="278"/>
      <c r="AW298" s="278"/>
      <c r="AX298" s="278"/>
      <c r="AY298" s="278"/>
      <c r="AZ298" s="278"/>
      <c r="BA298" s="278"/>
      <c r="BB298" s="278"/>
      <c r="BC298" s="278"/>
      <c r="BD298" s="278"/>
    </row>
    <row r="299" spans="1:56">
      <c r="A299" s="869"/>
      <c r="B299" s="870"/>
      <c r="C299" s="892"/>
      <c r="D299" s="892"/>
      <c r="E299" s="873"/>
      <c r="F299" s="874"/>
      <c r="G299" s="515" t="s">
        <v>700</v>
      </c>
      <c r="H299" s="515" t="s">
        <v>701</v>
      </c>
      <c r="I299" s="916"/>
      <c r="J299" s="136">
        <f>J298*F295/E295</f>
        <v>120798.59999999998</v>
      </c>
      <c r="K299" s="507" t="s">
        <v>32</v>
      </c>
      <c r="L299" s="909"/>
      <c r="M299" s="865"/>
      <c r="N299" s="865"/>
      <c r="O299" s="865"/>
      <c r="P299" s="521"/>
      <c r="Q299" s="507"/>
      <c r="R299" s="866"/>
      <c r="S299" s="865"/>
      <c r="T299" s="865"/>
      <c r="U299" s="865"/>
      <c r="V299" s="521">
        <f>F295/E295*V298</f>
        <v>57460</v>
      </c>
      <c r="W299" s="507" t="s">
        <v>32</v>
      </c>
      <c r="X299" s="866"/>
      <c r="Y299" s="507"/>
      <c r="Z299" s="507"/>
      <c r="AA299" s="507"/>
      <c r="AB299" s="287"/>
      <c r="AC299" s="507"/>
      <c r="AD299" s="509"/>
      <c r="AE299" s="507"/>
      <c r="AF299" s="507"/>
      <c r="AG299" s="507"/>
      <c r="AH299" s="286"/>
      <c r="AI299" s="507"/>
      <c r="AJ299" s="509"/>
      <c r="AK299" s="507"/>
      <c r="AL299" s="507"/>
      <c r="AM299" s="507"/>
      <c r="AN299" s="286"/>
      <c r="AO299" s="507"/>
      <c r="AP299" s="509"/>
      <c r="AQ299" s="634"/>
      <c r="AR299" s="606"/>
      <c r="AS299" s="394"/>
      <c r="AT299" s="393"/>
      <c r="AU299" s="395"/>
      <c r="AV299" s="278"/>
      <c r="AW299" s="278"/>
      <c r="AX299" s="278"/>
      <c r="AY299" s="278"/>
      <c r="AZ299" s="278"/>
      <c r="BA299" s="278"/>
      <c r="BB299" s="278"/>
      <c r="BC299" s="278"/>
      <c r="BD299" s="278"/>
    </row>
    <row r="300" spans="1:56" ht="39">
      <c r="A300" s="869"/>
      <c r="B300" s="870"/>
      <c r="C300" s="892"/>
      <c r="D300" s="892"/>
      <c r="E300" s="873"/>
      <c r="F300" s="874"/>
      <c r="G300" s="515" t="s">
        <v>696</v>
      </c>
      <c r="H300" s="515" t="s">
        <v>701</v>
      </c>
      <c r="I300" s="512" t="s">
        <v>2682</v>
      </c>
      <c r="J300" s="136">
        <v>1</v>
      </c>
      <c r="K300" s="507" t="s">
        <v>118</v>
      </c>
      <c r="L300" s="336">
        <v>157.18</v>
      </c>
      <c r="M300" s="507"/>
      <c r="N300" s="507"/>
      <c r="O300" s="507"/>
      <c r="P300" s="521"/>
      <c r="Q300" s="507"/>
      <c r="R300" s="508"/>
      <c r="S300" s="507"/>
      <c r="T300" s="507"/>
      <c r="U300" s="507"/>
      <c r="V300" s="521"/>
      <c r="W300" s="507"/>
      <c r="X300" s="508"/>
      <c r="Y300" s="507"/>
      <c r="Z300" s="507"/>
      <c r="AA300" s="507"/>
      <c r="AB300" s="287"/>
      <c r="AC300" s="507"/>
      <c r="AD300" s="509"/>
      <c r="AE300" s="507"/>
      <c r="AF300" s="507"/>
      <c r="AG300" s="507"/>
      <c r="AH300" s="286"/>
      <c r="AI300" s="507"/>
      <c r="AJ300" s="509"/>
      <c r="AK300" s="507"/>
      <c r="AL300" s="507"/>
      <c r="AM300" s="507"/>
      <c r="AN300" s="286"/>
      <c r="AO300" s="507"/>
      <c r="AP300" s="509"/>
      <c r="AQ300" s="634"/>
      <c r="AR300" s="606"/>
      <c r="AS300" s="394"/>
      <c r="AT300" s="393"/>
      <c r="AU300" s="395"/>
      <c r="AV300" s="278"/>
      <c r="AW300" s="278"/>
      <c r="AX300" s="278"/>
      <c r="AY300" s="278"/>
      <c r="AZ300" s="278"/>
      <c r="BA300" s="278"/>
      <c r="BB300" s="278"/>
      <c r="BC300" s="278"/>
      <c r="BD300" s="278"/>
    </row>
    <row r="301" spans="1:56" ht="31.5" customHeight="1">
      <c r="A301" s="869">
        <v>83</v>
      </c>
      <c r="B301" s="870" t="s">
        <v>83</v>
      </c>
      <c r="C301" s="891" t="s">
        <v>702</v>
      </c>
      <c r="D301" s="892" t="s">
        <v>693</v>
      </c>
      <c r="E301" s="873">
        <v>41.61</v>
      </c>
      <c r="F301" s="874">
        <v>327491.59999999998</v>
      </c>
      <c r="G301" s="982" t="s">
        <v>2591</v>
      </c>
      <c r="H301" s="983" t="s">
        <v>703</v>
      </c>
      <c r="I301" s="982" t="s">
        <v>31</v>
      </c>
      <c r="J301" s="277">
        <v>6.3073899999999998</v>
      </c>
      <c r="K301" s="139" t="s">
        <v>17</v>
      </c>
      <c r="L301" s="985">
        <v>79164.434999999998</v>
      </c>
      <c r="M301" s="865"/>
      <c r="N301" s="865"/>
      <c r="O301" s="907"/>
      <c r="P301" s="287"/>
      <c r="Q301" s="11"/>
      <c r="R301" s="866"/>
      <c r="S301" s="865" t="s">
        <v>704</v>
      </c>
      <c r="T301" s="865" t="s">
        <v>705</v>
      </c>
      <c r="U301" s="865" t="s">
        <v>31</v>
      </c>
      <c r="V301" s="286">
        <v>6.8</v>
      </c>
      <c r="W301" s="518" t="s">
        <v>17</v>
      </c>
      <c r="X301" s="866">
        <v>238000</v>
      </c>
      <c r="Y301" s="865" t="s">
        <v>705</v>
      </c>
      <c r="Z301" s="865" t="s">
        <v>2986</v>
      </c>
      <c r="AA301" s="865" t="s">
        <v>31</v>
      </c>
      <c r="AB301" s="286">
        <v>8.5</v>
      </c>
      <c r="AC301" s="518" t="s">
        <v>17</v>
      </c>
      <c r="AD301" s="907">
        <v>365300</v>
      </c>
      <c r="AE301" s="507"/>
      <c r="AF301" s="507"/>
      <c r="AG301" s="515"/>
      <c r="AH301" s="517"/>
      <c r="AI301" s="507"/>
      <c r="AJ301" s="623"/>
      <c r="AK301" s="507"/>
      <c r="AL301" s="507"/>
      <c r="AM301" s="507" t="s">
        <v>482</v>
      </c>
      <c r="AN301" s="286"/>
      <c r="AO301" s="507"/>
      <c r="AP301" s="509"/>
      <c r="AQ301" s="634"/>
      <c r="AR301" s="606"/>
      <c r="AS301" s="394"/>
      <c r="AT301" s="393"/>
      <c r="AU301" s="395"/>
      <c r="AV301" s="278"/>
      <c r="AW301" s="278"/>
      <c r="AX301" s="278"/>
      <c r="AY301" s="278"/>
      <c r="AZ301" s="278"/>
      <c r="BA301" s="278"/>
      <c r="BB301" s="278"/>
      <c r="BC301" s="278"/>
      <c r="BD301" s="278"/>
    </row>
    <row r="302" spans="1:56" ht="31.5" customHeight="1">
      <c r="A302" s="869"/>
      <c r="B302" s="870"/>
      <c r="C302" s="891"/>
      <c r="D302" s="892"/>
      <c r="E302" s="873"/>
      <c r="F302" s="874"/>
      <c r="G302" s="983"/>
      <c r="H302" s="983"/>
      <c r="I302" s="984"/>
      <c r="J302" s="140">
        <v>53657</v>
      </c>
      <c r="K302" s="519" t="s">
        <v>32</v>
      </c>
      <c r="L302" s="985"/>
      <c r="M302" s="865"/>
      <c r="N302" s="865"/>
      <c r="O302" s="907"/>
      <c r="P302" s="287"/>
      <c r="Q302" s="13"/>
      <c r="R302" s="866"/>
      <c r="S302" s="865"/>
      <c r="T302" s="865"/>
      <c r="U302" s="975"/>
      <c r="V302" s="287">
        <f>F301/E301*V301</f>
        <v>53519.415525114156</v>
      </c>
      <c r="W302" s="507" t="s">
        <v>32</v>
      </c>
      <c r="X302" s="866"/>
      <c r="Y302" s="865"/>
      <c r="Z302" s="865"/>
      <c r="AA302" s="865"/>
      <c r="AB302" s="287">
        <f>F301/E301*AB301</f>
        <v>66899.26940639269</v>
      </c>
      <c r="AC302" s="507" t="s">
        <v>32</v>
      </c>
      <c r="AD302" s="907"/>
      <c r="AE302" s="507"/>
      <c r="AF302" s="507"/>
      <c r="AG302" s="515"/>
      <c r="AH302" s="517"/>
      <c r="AI302" s="515"/>
      <c r="AJ302" s="623"/>
      <c r="AK302" s="507"/>
      <c r="AL302" s="507"/>
      <c r="AM302" s="507"/>
      <c r="AN302" s="286"/>
      <c r="AO302" s="507"/>
      <c r="AP302" s="509"/>
      <c r="AQ302" s="634"/>
      <c r="AR302" s="606"/>
      <c r="AS302" s="394"/>
      <c r="AT302" s="393"/>
      <c r="AU302" s="395"/>
      <c r="AV302" s="278"/>
      <c r="AW302" s="278"/>
      <c r="AX302" s="278"/>
      <c r="AY302" s="278"/>
      <c r="AZ302" s="278"/>
      <c r="BA302" s="278"/>
      <c r="BB302" s="278"/>
      <c r="BC302" s="278"/>
      <c r="BD302" s="278"/>
    </row>
    <row r="303" spans="1:56">
      <c r="A303" s="869"/>
      <c r="B303" s="870"/>
      <c r="C303" s="891"/>
      <c r="D303" s="892"/>
      <c r="E303" s="873"/>
      <c r="F303" s="874"/>
      <c r="G303" s="865" t="s">
        <v>703</v>
      </c>
      <c r="H303" s="865" t="s">
        <v>706</v>
      </c>
      <c r="I303" s="893" t="s">
        <v>31</v>
      </c>
      <c r="J303" s="274">
        <v>4</v>
      </c>
      <c r="K303" s="518" t="s">
        <v>17</v>
      </c>
      <c r="L303" s="866">
        <v>96306.136079999997</v>
      </c>
      <c r="M303" s="865"/>
      <c r="N303" s="865"/>
      <c r="O303" s="865"/>
      <c r="P303" s="286"/>
      <c r="Q303" s="518"/>
      <c r="R303" s="866"/>
      <c r="S303" s="865"/>
      <c r="T303" s="865"/>
      <c r="U303" s="865"/>
      <c r="V303" s="286"/>
      <c r="W303" s="518"/>
      <c r="X303" s="866"/>
      <c r="Y303" s="908"/>
      <c r="Z303" s="908"/>
      <c r="AA303" s="914"/>
      <c r="AB303" s="976"/>
      <c r="AC303" s="977"/>
      <c r="AD303" s="978"/>
      <c r="AE303" s="507"/>
      <c r="AF303" s="507"/>
      <c r="AG303" s="507"/>
      <c r="AH303" s="286"/>
      <c r="AI303" s="515"/>
      <c r="AJ303" s="509"/>
      <c r="AK303" s="507"/>
      <c r="AL303" s="507"/>
      <c r="AM303" s="507"/>
      <c r="AN303" s="286"/>
      <c r="AO303" s="507"/>
      <c r="AP303" s="509"/>
      <c r="AQ303" s="634"/>
      <c r="AR303" s="606"/>
      <c r="AS303" s="394"/>
      <c r="AT303" s="393"/>
      <c r="AU303" s="395"/>
      <c r="AV303" s="278"/>
      <c r="AW303" s="278"/>
      <c r="AX303" s="278"/>
      <c r="AY303" s="278"/>
      <c r="AZ303" s="278"/>
      <c r="BA303" s="278"/>
      <c r="BB303" s="278"/>
      <c r="BC303" s="278"/>
      <c r="BD303" s="278"/>
    </row>
    <row r="304" spans="1:56">
      <c r="A304" s="869"/>
      <c r="B304" s="870"/>
      <c r="C304" s="891"/>
      <c r="D304" s="892"/>
      <c r="E304" s="873"/>
      <c r="F304" s="874"/>
      <c r="G304" s="865"/>
      <c r="H304" s="865"/>
      <c r="I304" s="894"/>
      <c r="J304" s="534">
        <v>36829</v>
      </c>
      <c r="K304" s="507" t="s">
        <v>32</v>
      </c>
      <c r="L304" s="866"/>
      <c r="M304" s="865"/>
      <c r="N304" s="865"/>
      <c r="O304" s="975"/>
      <c r="P304" s="287"/>
      <c r="Q304" s="507"/>
      <c r="R304" s="866"/>
      <c r="S304" s="865"/>
      <c r="T304" s="865"/>
      <c r="U304" s="975"/>
      <c r="V304" s="287"/>
      <c r="W304" s="507"/>
      <c r="X304" s="866"/>
      <c r="Y304" s="908"/>
      <c r="Z304" s="908"/>
      <c r="AA304" s="914"/>
      <c r="AB304" s="976"/>
      <c r="AC304" s="977"/>
      <c r="AD304" s="978"/>
      <c r="AE304" s="507"/>
      <c r="AF304" s="507"/>
      <c r="AG304" s="507"/>
      <c r="AH304" s="286"/>
      <c r="AI304" s="507"/>
      <c r="AJ304" s="509"/>
      <c r="AK304" s="507"/>
      <c r="AL304" s="507"/>
      <c r="AM304" s="507"/>
      <c r="AN304" s="286"/>
      <c r="AO304" s="507"/>
      <c r="AP304" s="509"/>
      <c r="AQ304" s="634"/>
      <c r="AR304" s="606"/>
      <c r="AS304" s="394"/>
      <c r="AT304" s="393"/>
      <c r="AU304" s="395"/>
      <c r="AV304" s="278"/>
      <c r="AW304" s="278"/>
      <c r="AX304" s="278"/>
      <c r="AY304" s="278"/>
      <c r="AZ304" s="278"/>
      <c r="BA304" s="278"/>
      <c r="BB304" s="278"/>
      <c r="BC304" s="278"/>
      <c r="BD304" s="278"/>
    </row>
    <row r="305" spans="1:56" ht="39">
      <c r="A305" s="869"/>
      <c r="B305" s="870"/>
      <c r="C305" s="891"/>
      <c r="D305" s="892"/>
      <c r="E305" s="873"/>
      <c r="F305" s="874"/>
      <c r="G305" s="865"/>
      <c r="H305" s="865"/>
      <c r="I305" s="512" t="s">
        <v>2682</v>
      </c>
      <c r="J305" s="534">
        <v>1</v>
      </c>
      <c r="K305" s="507" t="s">
        <v>118</v>
      </c>
      <c r="L305" s="336">
        <v>48</v>
      </c>
      <c r="M305" s="507"/>
      <c r="N305" s="507"/>
      <c r="O305" s="513"/>
      <c r="P305" s="287"/>
      <c r="Q305" s="507"/>
      <c r="R305" s="508"/>
      <c r="S305" s="507"/>
      <c r="T305" s="507"/>
      <c r="U305" s="513"/>
      <c r="V305" s="287"/>
      <c r="W305" s="507"/>
      <c r="X305" s="508"/>
      <c r="Y305" s="515"/>
      <c r="Z305" s="515"/>
      <c r="AA305" s="516"/>
      <c r="AB305" s="517"/>
      <c r="AC305" s="518"/>
      <c r="AD305" s="623"/>
      <c r="AE305" s="507"/>
      <c r="AF305" s="507"/>
      <c r="AG305" s="507"/>
      <c r="AH305" s="286"/>
      <c r="AI305" s="507"/>
      <c r="AJ305" s="509"/>
      <c r="AK305" s="507"/>
      <c r="AL305" s="507"/>
      <c r="AM305" s="507"/>
      <c r="AN305" s="286"/>
      <c r="AO305" s="507"/>
      <c r="AP305" s="509"/>
      <c r="AQ305" s="634"/>
      <c r="AR305" s="606"/>
      <c r="AS305" s="394"/>
      <c r="AT305" s="393"/>
      <c r="AU305" s="395"/>
      <c r="AV305" s="278"/>
      <c r="AW305" s="278"/>
      <c r="AX305" s="278"/>
      <c r="AY305" s="278"/>
      <c r="AZ305" s="278"/>
      <c r="BA305" s="278"/>
      <c r="BB305" s="278"/>
      <c r="BC305" s="278"/>
      <c r="BD305" s="278"/>
    </row>
    <row r="306" spans="1:56">
      <c r="A306" s="869"/>
      <c r="B306" s="870"/>
      <c r="C306" s="891"/>
      <c r="D306" s="892"/>
      <c r="E306" s="873"/>
      <c r="F306" s="874"/>
      <c r="G306" s="865" t="s">
        <v>706</v>
      </c>
      <c r="H306" s="865" t="s">
        <v>707</v>
      </c>
      <c r="I306" s="893" t="s">
        <v>31</v>
      </c>
      <c r="J306" s="507">
        <v>5</v>
      </c>
      <c r="K306" s="518" t="s">
        <v>17</v>
      </c>
      <c r="L306" s="962">
        <f>57935.49095+45181.87218</f>
        <v>103117.36313</v>
      </c>
      <c r="M306" s="507"/>
      <c r="N306" s="507"/>
      <c r="O306" s="513"/>
      <c r="P306" s="287"/>
      <c r="Q306" s="507"/>
      <c r="R306" s="508"/>
      <c r="S306" s="507"/>
      <c r="T306" s="507"/>
      <c r="U306" s="513"/>
      <c r="V306" s="287"/>
      <c r="W306" s="507"/>
      <c r="X306" s="508"/>
      <c r="Y306" s="515"/>
      <c r="Z306" s="515"/>
      <c r="AA306" s="516"/>
      <c r="AB306" s="517"/>
      <c r="AC306" s="518"/>
      <c r="AD306" s="623"/>
      <c r="AE306" s="507"/>
      <c r="AF306" s="507"/>
      <c r="AG306" s="507"/>
      <c r="AH306" s="286"/>
      <c r="AI306" s="507"/>
      <c r="AJ306" s="509"/>
      <c r="AK306" s="507"/>
      <c r="AL306" s="507"/>
      <c r="AM306" s="507"/>
      <c r="AN306" s="286"/>
      <c r="AO306" s="507"/>
      <c r="AP306" s="509"/>
      <c r="AQ306" s="634"/>
      <c r="AR306" s="606"/>
      <c r="AS306" s="394"/>
      <c r="AT306" s="393"/>
      <c r="AU306" s="395"/>
      <c r="AV306" s="278"/>
      <c r="AW306" s="278"/>
      <c r="AX306" s="278"/>
      <c r="AY306" s="278"/>
      <c r="AZ306" s="278"/>
      <c r="BA306" s="278"/>
      <c r="BB306" s="278"/>
      <c r="BC306" s="278"/>
      <c r="BD306" s="278"/>
    </row>
    <row r="307" spans="1:56">
      <c r="A307" s="869"/>
      <c r="B307" s="870"/>
      <c r="C307" s="891"/>
      <c r="D307" s="892"/>
      <c r="E307" s="873"/>
      <c r="F307" s="874"/>
      <c r="G307" s="865"/>
      <c r="H307" s="865"/>
      <c r="I307" s="893"/>
      <c r="J307" s="274">
        <f>J306*F301/E301</f>
        <v>39352.511415525114</v>
      </c>
      <c r="K307" s="507" t="s">
        <v>32</v>
      </c>
      <c r="L307" s="963"/>
      <c r="M307" s="507"/>
      <c r="N307" s="507"/>
      <c r="O307" s="513"/>
      <c r="P307" s="287"/>
      <c r="Q307" s="507"/>
      <c r="R307" s="508"/>
      <c r="S307" s="507"/>
      <c r="T307" s="507"/>
      <c r="U307" s="513"/>
      <c r="V307" s="287"/>
      <c r="W307" s="507"/>
      <c r="X307" s="508"/>
      <c r="Y307" s="515"/>
      <c r="Z307" s="515"/>
      <c r="AA307" s="516"/>
      <c r="AB307" s="517"/>
      <c r="AC307" s="518"/>
      <c r="AD307" s="623"/>
      <c r="AE307" s="507"/>
      <c r="AF307" s="507"/>
      <c r="AG307" s="507"/>
      <c r="AH307" s="286"/>
      <c r="AI307" s="507"/>
      <c r="AJ307" s="509"/>
      <c r="AK307" s="507"/>
      <c r="AL307" s="507"/>
      <c r="AM307" s="507"/>
      <c r="AN307" s="286"/>
      <c r="AO307" s="507"/>
      <c r="AP307" s="509"/>
      <c r="AQ307" s="634"/>
      <c r="AR307" s="606"/>
      <c r="AS307" s="394"/>
      <c r="AT307" s="393"/>
      <c r="AU307" s="395"/>
      <c r="AV307" s="278"/>
      <c r="AW307" s="278"/>
      <c r="AX307" s="278"/>
      <c r="AY307" s="278"/>
      <c r="AZ307" s="278"/>
      <c r="BA307" s="278"/>
      <c r="BB307" s="278"/>
      <c r="BC307" s="278"/>
      <c r="BD307" s="278"/>
    </row>
    <row r="308" spans="1:56" ht="39">
      <c r="A308" s="869"/>
      <c r="B308" s="870"/>
      <c r="C308" s="891"/>
      <c r="D308" s="892"/>
      <c r="E308" s="873"/>
      <c r="F308" s="874"/>
      <c r="G308" s="865"/>
      <c r="H308" s="865"/>
      <c r="I308" s="512" t="s">
        <v>2682</v>
      </c>
      <c r="J308" s="534">
        <v>1</v>
      </c>
      <c r="K308" s="507" t="s">
        <v>118</v>
      </c>
      <c r="L308" s="336">
        <v>60</v>
      </c>
      <c r="M308" s="507"/>
      <c r="N308" s="507"/>
      <c r="O308" s="513"/>
      <c r="P308" s="287"/>
      <c r="Q308" s="507"/>
      <c r="R308" s="508"/>
      <c r="S308" s="507"/>
      <c r="T308" s="507"/>
      <c r="U308" s="513"/>
      <c r="V308" s="287"/>
      <c r="W308" s="507"/>
      <c r="X308" s="508"/>
      <c r="Y308" s="515"/>
      <c r="Z308" s="515"/>
      <c r="AA308" s="516"/>
      <c r="AB308" s="517"/>
      <c r="AC308" s="518"/>
      <c r="AD308" s="623"/>
      <c r="AE308" s="507"/>
      <c r="AF308" s="507"/>
      <c r="AG308" s="507"/>
      <c r="AH308" s="286"/>
      <c r="AI308" s="507"/>
      <c r="AJ308" s="509"/>
      <c r="AK308" s="507"/>
      <c r="AL308" s="507"/>
      <c r="AM308" s="507"/>
      <c r="AN308" s="286"/>
      <c r="AO308" s="507"/>
      <c r="AP308" s="509"/>
      <c r="AQ308" s="634"/>
      <c r="AR308" s="606"/>
      <c r="AS308" s="394"/>
      <c r="AT308" s="393"/>
      <c r="AU308" s="395"/>
      <c r="AV308" s="278"/>
      <c r="AW308" s="278"/>
      <c r="AX308" s="278"/>
      <c r="AY308" s="278"/>
      <c r="AZ308" s="278"/>
      <c r="BA308" s="278"/>
      <c r="BB308" s="278"/>
      <c r="BC308" s="278"/>
      <c r="BD308" s="278"/>
    </row>
    <row r="309" spans="1:56">
      <c r="A309" s="869">
        <v>84</v>
      </c>
      <c r="B309" s="870" t="s">
        <v>83</v>
      </c>
      <c r="C309" s="891" t="s">
        <v>69</v>
      </c>
      <c r="D309" s="892" t="s">
        <v>693</v>
      </c>
      <c r="E309" s="873">
        <v>29.4</v>
      </c>
      <c r="F309" s="986">
        <v>244135</v>
      </c>
      <c r="G309" s="865"/>
      <c r="H309" s="865"/>
      <c r="I309" s="893"/>
      <c r="J309" s="534"/>
      <c r="K309" s="518"/>
      <c r="L309" s="866"/>
      <c r="M309" s="907"/>
      <c r="N309" s="907"/>
      <c r="O309" s="907"/>
      <c r="P309" s="287"/>
      <c r="Q309" s="11"/>
      <c r="R309" s="866"/>
      <c r="S309" s="865" t="s">
        <v>708</v>
      </c>
      <c r="T309" s="865" t="s">
        <v>709</v>
      </c>
      <c r="U309" s="865" t="s">
        <v>31</v>
      </c>
      <c r="V309" s="286">
        <v>11</v>
      </c>
      <c r="W309" s="518" t="s">
        <v>17</v>
      </c>
      <c r="X309" s="866">
        <v>407488.3541</v>
      </c>
      <c r="Y309" s="865" t="s">
        <v>709</v>
      </c>
      <c r="Z309" s="865" t="s">
        <v>2987</v>
      </c>
      <c r="AA309" s="865" t="s">
        <v>31</v>
      </c>
      <c r="AB309" s="286">
        <v>5.4</v>
      </c>
      <c r="AC309" s="274" t="s">
        <v>17</v>
      </c>
      <c r="AD309" s="907">
        <v>235200</v>
      </c>
      <c r="AE309" s="507"/>
      <c r="AF309" s="507"/>
      <c r="AG309" s="507"/>
      <c r="AH309" s="286"/>
      <c r="AI309" s="507"/>
      <c r="AJ309" s="509"/>
      <c r="AK309" s="507"/>
      <c r="AL309" s="507"/>
      <c r="AM309" s="507"/>
      <c r="AN309" s="286"/>
      <c r="AO309" s="507"/>
      <c r="AP309" s="509"/>
      <c r="AQ309" s="634"/>
      <c r="AR309" s="606"/>
      <c r="AS309" s="394"/>
      <c r="AT309" s="393"/>
      <c r="AU309" s="395"/>
      <c r="AV309" s="278"/>
      <c r="AW309" s="278"/>
      <c r="AX309" s="278"/>
      <c r="AY309" s="278"/>
      <c r="AZ309" s="278"/>
      <c r="BA309" s="278"/>
      <c r="BB309" s="278"/>
      <c r="BC309" s="278"/>
      <c r="BD309" s="278"/>
    </row>
    <row r="310" spans="1:56">
      <c r="A310" s="869"/>
      <c r="B310" s="870"/>
      <c r="C310" s="891"/>
      <c r="D310" s="892"/>
      <c r="E310" s="873"/>
      <c r="F310" s="986"/>
      <c r="G310" s="865"/>
      <c r="H310" s="865"/>
      <c r="I310" s="894"/>
      <c r="J310" s="534"/>
      <c r="K310" s="507"/>
      <c r="L310" s="866"/>
      <c r="M310" s="907"/>
      <c r="N310" s="907"/>
      <c r="O310" s="907"/>
      <c r="P310" s="287"/>
      <c r="Q310" s="13"/>
      <c r="R310" s="866"/>
      <c r="S310" s="865"/>
      <c r="T310" s="865"/>
      <c r="U310" s="975"/>
      <c r="V310" s="287">
        <f>F309/E309*V309</f>
        <v>91343.027210884349</v>
      </c>
      <c r="W310" s="507" t="s">
        <v>32</v>
      </c>
      <c r="X310" s="866"/>
      <c r="Y310" s="865"/>
      <c r="Z310" s="865"/>
      <c r="AA310" s="865"/>
      <c r="AB310" s="286">
        <f>F309/E309*AB309</f>
        <v>44841.122448979593</v>
      </c>
      <c r="AC310" s="274" t="s">
        <v>32</v>
      </c>
      <c r="AD310" s="907"/>
      <c r="AE310" s="507"/>
      <c r="AF310" s="507"/>
      <c r="AG310" s="507"/>
      <c r="AH310" s="286"/>
      <c r="AI310" s="507"/>
      <c r="AJ310" s="509"/>
      <c r="AK310" s="507"/>
      <c r="AL310" s="507"/>
      <c r="AM310" s="507"/>
      <c r="AN310" s="286"/>
      <c r="AO310" s="507"/>
      <c r="AP310" s="509"/>
      <c r="AQ310" s="634"/>
      <c r="AR310" s="606"/>
      <c r="AS310" s="394"/>
      <c r="AT310" s="393"/>
      <c r="AU310" s="395"/>
      <c r="AV310" s="278"/>
      <c r="AW310" s="278"/>
      <c r="AX310" s="278"/>
      <c r="AY310" s="278"/>
      <c r="AZ310" s="278"/>
      <c r="BA310" s="278"/>
      <c r="BB310" s="278"/>
      <c r="BC310" s="278"/>
      <c r="BD310" s="278"/>
    </row>
    <row r="311" spans="1:56">
      <c r="A311" s="869"/>
      <c r="B311" s="870"/>
      <c r="C311" s="891"/>
      <c r="D311" s="892"/>
      <c r="E311" s="873"/>
      <c r="F311" s="986"/>
      <c r="G311" s="507"/>
      <c r="H311" s="507"/>
      <c r="I311" s="512"/>
      <c r="J311" s="534"/>
      <c r="K311" s="507"/>
      <c r="L311" s="508"/>
      <c r="M311" s="907"/>
      <c r="N311" s="907"/>
      <c r="O311" s="907"/>
      <c r="P311" s="287"/>
      <c r="Q311" s="11"/>
      <c r="R311" s="866"/>
      <c r="S311" s="507"/>
      <c r="T311" s="507"/>
      <c r="U311" s="513"/>
      <c r="V311" s="287"/>
      <c r="W311" s="507"/>
      <c r="X311" s="508"/>
      <c r="Y311" s="507"/>
      <c r="Z311" s="507"/>
      <c r="AA311" s="507"/>
      <c r="AB311" s="286"/>
      <c r="AC311" s="274"/>
      <c r="AD311" s="509"/>
      <c r="AE311" s="507"/>
      <c r="AF311" s="507"/>
      <c r="AG311" s="507"/>
      <c r="AH311" s="286"/>
      <c r="AI311" s="507"/>
      <c r="AJ311" s="509"/>
      <c r="AK311" s="507"/>
      <c r="AL311" s="507"/>
      <c r="AM311" s="507"/>
      <c r="AN311" s="286"/>
      <c r="AO311" s="507"/>
      <c r="AP311" s="509"/>
      <c r="AQ311" s="634"/>
      <c r="AR311" s="606"/>
      <c r="AS311" s="394"/>
      <c r="AT311" s="393"/>
      <c r="AU311" s="395"/>
      <c r="AV311" s="278"/>
      <c r="AW311" s="278"/>
      <c r="AX311" s="278"/>
      <c r="AY311" s="278"/>
      <c r="AZ311" s="278"/>
      <c r="BA311" s="278"/>
      <c r="BB311" s="278"/>
      <c r="BC311" s="278"/>
      <c r="BD311" s="278"/>
    </row>
    <row r="312" spans="1:56">
      <c r="A312" s="869"/>
      <c r="B312" s="870"/>
      <c r="C312" s="891"/>
      <c r="D312" s="892"/>
      <c r="E312" s="873"/>
      <c r="F312" s="986"/>
      <c r="G312" s="507"/>
      <c r="H312" s="507"/>
      <c r="I312" s="512"/>
      <c r="J312" s="534"/>
      <c r="K312" s="507"/>
      <c r="L312" s="508"/>
      <c r="M312" s="907"/>
      <c r="N312" s="907"/>
      <c r="O312" s="907"/>
      <c r="P312" s="287"/>
      <c r="Q312" s="13"/>
      <c r="R312" s="866"/>
      <c r="S312" s="507"/>
      <c r="T312" s="507"/>
      <c r="U312" s="513"/>
      <c r="V312" s="287"/>
      <c r="W312" s="507"/>
      <c r="X312" s="508"/>
      <c r="Y312" s="507"/>
      <c r="Z312" s="507"/>
      <c r="AA312" s="507"/>
      <c r="AB312" s="286"/>
      <c r="AC312" s="274"/>
      <c r="AD312" s="509"/>
      <c r="AE312" s="507"/>
      <c r="AF312" s="507"/>
      <c r="AG312" s="507"/>
      <c r="AH312" s="286"/>
      <c r="AI312" s="507"/>
      <c r="AJ312" s="509"/>
      <c r="AK312" s="507"/>
      <c r="AL312" s="507"/>
      <c r="AM312" s="507"/>
      <c r="AN312" s="286"/>
      <c r="AO312" s="507"/>
      <c r="AP312" s="509"/>
      <c r="AQ312" s="634"/>
      <c r="AR312" s="606"/>
      <c r="AS312" s="394"/>
      <c r="AT312" s="393"/>
      <c r="AU312" s="395"/>
      <c r="AV312" s="278"/>
      <c r="AW312" s="278"/>
      <c r="AX312" s="278"/>
      <c r="AY312" s="278"/>
      <c r="AZ312" s="278"/>
      <c r="BA312" s="278"/>
      <c r="BB312" s="278"/>
      <c r="BC312" s="278"/>
      <c r="BD312" s="278"/>
    </row>
    <row r="313" spans="1:56">
      <c r="A313" s="869"/>
      <c r="B313" s="870"/>
      <c r="C313" s="891"/>
      <c r="D313" s="892"/>
      <c r="E313" s="873"/>
      <c r="F313" s="986"/>
      <c r="G313" s="507"/>
      <c r="H313" s="507"/>
      <c r="I313" s="512"/>
      <c r="J313" s="534"/>
      <c r="K313" s="507"/>
      <c r="L313" s="508"/>
      <c r="M313" s="509"/>
      <c r="N313" s="509"/>
      <c r="O313" s="18"/>
      <c r="P313" s="287"/>
      <c r="Q313" s="13"/>
      <c r="R313" s="508"/>
      <c r="S313" s="507"/>
      <c r="T313" s="507"/>
      <c r="U313" s="513"/>
      <c r="V313" s="287"/>
      <c r="W313" s="507"/>
      <c r="X313" s="508"/>
      <c r="Y313" s="507"/>
      <c r="Z313" s="507"/>
      <c r="AA313" s="507"/>
      <c r="AB313" s="286"/>
      <c r="AC313" s="274"/>
      <c r="AD313" s="509"/>
      <c r="AE313" s="507"/>
      <c r="AF313" s="507"/>
      <c r="AG313" s="507"/>
      <c r="AH313" s="286"/>
      <c r="AI313" s="507"/>
      <c r="AJ313" s="509"/>
      <c r="AK313" s="507"/>
      <c r="AL313" s="507"/>
      <c r="AM313" s="507"/>
      <c r="AN313" s="286"/>
      <c r="AO313" s="507"/>
      <c r="AP313" s="509"/>
      <c r="AQ313" s="634"/>
      <c r="AR313" s="606"/>
      <c r="AS313" s="394"/>
      <c r="AT313" s="393"/>
      <c r="AU313" s="395"/>
      <c r="AV313" s="278"/>
      <c r="AW313" s="278"/>
      <c r="AX313" s="278"/>
      <c r="AY313" s="278"/>
      <c r="AZ313" s="278"/>
      <c r="BA313" s="278"/>
      <c r="BB313" s="278"/>
      <c r="BC313" s="278"/>
      <c r="BD313" s="278"/>
    </row>
    <row r="314" spans="1:56">
      <c r="A314" s="869">
        <v>85</v>
      </c>
      <c r="B314" s="870" t="s">
        <v>83</v>
      </c>
      <c r="C314" s="891" t="s">
        <v>711</v>
      </c>
      <c r="D314" s="892" t="s">
        <v>693</v>
      </c>
      <c r="E314" s="873">
        <v>57.661999999999999</v>
      </c>
      <c r="F314" s="874">
        <v>488719</v>
      </c>
      <c r="G314" s="908" t="s">
        <v>712</v>
      </c>
      <c r="H314" s="908" t="s">
        <v>713</v>
      </c>
      <c r="I314" s="893" t="s">
        <v>114</v>
      </c>
      <c r="J314" s="275">
        <v>6</v>
      </c>
      <c r="K314" s="518" t="s">
        <v>17</v>
      </c>
      <c r="L314" s="909">
        <f>82486.82311</f>
        <v>82486.823109999998</v>
      </c>
      <c r="M314" s="908"/>
      <c r="N314" s="908"/>
      <c r="O314" s="908"/>
      <c r="P314" s="517"/>
      <c r="Q314" s="518"/>
      <c r="R314" s="866"/>
      <c r="S314" s="865" t="s">
        <v>714</v>
      </c>
      <c r="T314" s="865" t="s">
        <v>712</v>
      </c>
      <c r="U314" s="893" t="s">
        <v>114</v>
      </c>
      <c r="V314" s="286">
        <v>10</v>
      </c>
      <c r="W314" s="518" t="s">
        <v>17</v>
      </c>
      <c r="X314" s="985">
        <v>168000</v>
      </c>
      <c r="Y314" s="865" t="s">
        <v>2988</v>
      </c>
      <c r="Z314" s="865" t="s">
        <v>714</v>
      </c>
      <c r="AA314" s="865" t="s">
        <v>31</v>
      </c>
      <c r="AB314" s="286">
        <v>4.5</v>
      </c>
      <c r="AC314" s="518" t="s">
        <v>17</v>
      </c>
      <c r="AD314" s="987">
        <v>189530</v>
      </c>
      <c r="AE314" s="507"/>
      <c r="AF314" s="507"/>
      <c r="AG314" s="507" t="s">
        <v>482</v>
      </c>
      <c r="AH314" s="286"/>
      <c r="AI314" s="507"/>
      <c r="AJ314" s="509"/>
      <c r="AK314" s="507"/>
      <c r="AL314" s="507"/>
      <c r="AM314" s="507" t="s">
        <v>482</v>
      </c>
      <c r="AN314" s="286"/>
      <c r="AO314" s="507"/>
      <c r="AP314" s="509"/>
      <c r="AQ314" s="634"/>
      <c r="AR314" s="606"/>
      <c r="AS314" s="394"/>
      <c r="AT314" s="393"/>
      <c r="AU314" s="395"/>
      <c r="AV314" s="278"/>
      <c r="AW314" s="278"/>
      <c r="AX314" s="278"/>
      <c r="AY314" s="278"/>
      <c r="AZ314" s="278"/>
      <c r="BA314" s="278"/>
      <c r="BB314" s="278"/>
      <c r="BC314" s="278"/>
      <c r="BD314" s="278"/>
    </row>
    <row r="315" spans="1:56">
      <c r="A315" s="869"/>
      <c r="B315" s="870"/>
      <c r="C315" s="891"/>
      <c r="D315" s="892"/>
      <c r="E315" s="873"/>
      <c r="F315" s="874"/>
      <c r="G315" s="908"/>
      <c r="H315" s="908"/>
      <c r="I315" s="916"/>
      <c r="J315" s="534">
        <v>48796</v>
      </c>
      <c r="K315" s="515" t="s">
        <v>32</v>
      </c>
      <c r="L315" s="909"/>
      <c r="M315" s="908"/>
      <c r="N315" s="908"/>
      <c r="O315" s="975"/>
      <c r="P315" s="521"/>
      <c r="Q315" s="507"/>
      <c r="R315" s="866"/>
      <c r="S315" s="865"/>
      <c r="T315" s="865"/>
      <c r="U315" s="916"/>
      <c r="V315" s="287">
        <f>F314/E314*V314</f>
        <v>84755.818389927517</v>
      </c>
      <c r="W315" s="507" t="s">
        <v>32</v>
      </c>
      <c r="X315" s="985"/>
      <c r="Y315" s="865"/>
      <c r="Z315" s="865"/>
      <c r="AA315" s="865"/>
      <c r="AB315" s="287">
        <f>F314/E314*AB314</f>
        <v>38140.118275467379</v>
      </c>
      <c r="AC315" s="507" t="s">
        <v>32</v>
      </c>
      <c r="AD315" s="987"/>
      <c r="AE315" s="507"/>
      <c r="AF315" s="507"/>
      <c r="AG315" s="507"/>
      <c r="AH315" s="286"/>
      <c r="AI315" s="507"/>
      <c r="AJ315" s="509"/>
      <c r="AK315" s="507"/>
      <c r="AL315" s="507"/>
      <c r="AM315" s="507"/>
      <c r="AN315" s="286"/>
      <c r="AO315" s="507"/>
      <c r="AP315" s="509"/>
      <c r="AQ315" s="634"/>
      <c r="AR315" s="606"/>
      <c r="AS315" s="394"/>
      <c r="AT315" s="393"/>
      <c r="AU315" s="395"/>
      <c r="AV315" s="278"/>
      <c r="AW315" s="278"/>
      <c r="AX315" s="278"/>
      <c r="AY315" s="278"/>
      <c r="AZ315" s="278"/>
      <c r="BA315" s="278"/>
      <c r="BB315" s="278"/>
      <c r="BC315" s="278"/>
      <c r="BD315" s="278"/>
    </row>
    <row r="316" spans="1:56" ht="39">
      <c r="A316" s="869"/>
      <c r="B316" s="870"/>
      <c r="C316" s="891"/>
      <c r="D316" s="892"/>
      <c r="E316" s="873"/>
      <c r="F316" s="874"/>
      <c r="G316" s="515"/>
      <c r="H316" s="515"/>
      <c r="I316" s="512" t="s">
        <v>2682</v>
      </c>
      <c r="J316" s="534">
        <v>1</v>
      </c>
      <c r="K316" s="507" t="s">
        <v>118</v>
      </c>
      <c r="L316" s="336">
        <v>30</v>
      </c>
      <c r="M316" s="515"/>
      <c r="N316" s="515"/>
      <c r="O316" s="513"/>
      <c r="P316" s="521"/>
      <c r="Q316" s="507"/>
      <c r="R316" s="336"/>
      <c r="S316" s="14"/>
      <c r="T316" s="14"/>
      <c r="U316" s="14"/>
      <c r="V316" s="289"/>
      <c r="W316" s="14"/>
      <c r="X316" s="614"/>
      <c r="Y316" s="908"/>
      <c r="Z316" s="908"/>
      <c r="AA316" s="914"/>
      <c r="AB316" s="976"/>
      <c r="AC316" s="977"/>
      <c r="AD316" s="978"/>
      <c r="AE316" s="507"/>
      <c r="AF316" s="507"/>
      <c r="AG316" s="507"/>
      <c r="AH316" s="286"/>
      <c r="AI316" s="507"/>
      <c r="AJ316" s="509"/>
      <c r="AK316" s="507"/>
      <c r="AL316" s="507"/>
      <c r="AM316" s="507"/>
      <c r="AN316" s="286"/>
      <c r="AO316" s="507"/>
      <c r="AP316" s="509"/>
      <c r="AQ316" s="634"/>
      <c r="AR316" s="606"/>
      <c r="AS316" s="394"/>
      <c r="AT316" s="393"/>
      <c r="AU316" s="395"/>
      <c r="AV316" s="278"/>
      <c r="AW316" s="278"/>
      <c r="AX316" s="278"/>
      <c r="AY316" s="278"/>
      <c r="AZ316" s="278"/>
      <c r="BA316" s="278"/>
      <c r="BB316" s="278"/>
      <c r="BC316" s="278"/>
      <c r="BD316" s="278"/>
    </row>
    <row r="317" spans="1:56">
      <c r="A317" s="869"/>
      <c r="B317" s="870"/>
      <c r="C317" s="891"/>
      <c r="D317" s="892"/>
      <c r="E317" s="873"/>
      <c r="F317" s="874"/>
      <c r="G317" s="515"/>
      <c r="H317" s="515"/>
      <c r="I317" s="512"/>
      <c r="J317" s="534"/>
      <c r="K317" s="515"/>
      <c r="L317" s="336"/>
      <c r="M317" s="515"/>
      <c r="N317" s="515"/>
      <c r="O317" s="513"/>
      <c r="P317" s="521"/>
      <c r="Q317" s="507"/>
      <c r="R317" s="336"/>
      <c r="S317" s="14"/>
      <c r="T317" s="14"/>
      <c r="U317" s="14"/>
      <c r="V317" s="289"/>
      <c r="W317" s="14"/>
      <c r="X317" s="614"/>
      <c r="Y317" s="908"/>
      <c r="Z317" s="908"/>
      <c r="AA317" s="914"/>
      <c r="AB317" s="976"/>
      <c r="AC317" s="977"/>
      <c r="AD317" s="978"/>
      <c r="AE317" s="507"/>
      <c r="AF317" s="507"/>
      <c r="AG317" s="507"/>
      <c r="AH317" s="286"/>
      <c r="AI317" s="507"/>
      <c r="AJ317" s="509"/>
      <c r="AK317" s="507"/>
      <c r="AL317" s="507"/>
      <c r="AM317" s="507"/>
      <c r="AN317" s="286"/>
      <c r="AO317" s="507"/>
      <c r="AP317" s="509"/>
      <c r="AQ317" s="634"/>
      <c r="AR317" s="606"/>
      <c r="AS317" s="394"/>
      <c r="AT317" s="393"/>
      <c r="AU317" s="395"/>
      <c r="AV317" s="278"/>
      <c r="AW317" s="278"/>
      <c r="AX317" s="278"/>
      <c r="AY317" s="278"/>
      <c r="AZ317" s="278"/>
      <c r="BA317" s="278"/>
      <c r="BB317" s="278"/>
      <c r="BC317" s="278"/>
      <c r="BD317" s="278"/>
    </row>
    <row r="318" spans="1:56" ht="33.75" customHeight="1">
      <c r="A318" s="869">
        <v>57</v>
      </c>
      <c r="B318" s="870">
        <v>805742</v>
      </c>
      <c r="C318" s="891" t="s">
        <v>715</v>
      </c>
      <c r="D318" s="892" t="s">
        <v>716</v>
      </c>
      <c r="E318" s="873">
        <v>1.4</v>
      </c>
      <c r="F318" s="874">
        <v>8400</v>
      </c>
      <c r="G318" s="507"/>
      <c r="H318" s="507"/>
      <c r="I318" s="511" t="s">
        <v>482</v>
      </c>
      <c r="J318" s="534"/>
      <c r="K318" s="518"/>
      <c r="L318" s="508"/>
      <c r="M318" s="507"/>
      <c r="N318" s="507"/>
      <c r="O318" s="507" t="s">
        <v>482</v>
      </c>
      <c r="P318" s="287"/>
      <c r="Q318" s="513"/>
      <c r="R318" s="508"/>
      <c r="S318" s="507"/>
      <c r="T318" s="507"/>
      <c r="U318" s="507" t="s">
        <v>482</v>
      </c>
      <c r="V318" s="287"/>
      <c r="W318" s="274"/>
      <c r="X318" s="508"/>
      <c r="Y318" s="865"/>
      <c r="Z318" s="865"/>
      <c r="AA318" s="865"/>
      <c r="AB318" s="286"/>
      <c r="AC318" s="518"/>
      <c r="AD318" s="907"/>
      <c r="AE318" s="507"/>
      <c r="AF318" s="507"/>
      <c r="AG318" s="907" t="s">
        <v>31</v>
      </c>
      <c r="AH318" s="286">
        <v>0.68</v>
      </c>
      <c r="AI318" s="518" t="s">
        <v>17</v>
      </c>
      <c r="AJ318" s="907">
        <v>40800</v>
      </c>
      <c r="AK318" s="507"/>
      <c r="AL318" s="507"/>
      <c r="AM318" s="507" t="s">
        <v>482</v>
      </c>
      <c r="AN318" s="286"/>
      <c r="AO318" s="507"/>
      <c r="AP318" s="509"/>
      <c r="AQ318" s="634"/>
      <c r="AR318" s="606"/>
      <c r="AS318" s="394"/>
      <c r="AT318" s="393"/>
      <c r="AU318" s="395"/>
      <c r="AV318" s="278"/>
      <c r="AW318" s="278"/>
      <c r="AX318" s="278"/>
      <c r="AY318" s="278"/>
      <c r="AZ318" s="278"/>
      <c r="BA318" s="278"/>
      <c r="BB318" s="278"/>
      <c r="BC318" s="278"/>
      <c r="BD318" s="278"/>
    </row>
    <row r="319" spans="1:56" ht="33.75" customHeight="1">
      <c r="A319" s="869"/>
      <c r="B319" s="870"/>
      <c r="C319" s="915"/>
      <c r="D319" s="892"/>
      <c r="E319" s="873"/>
      <c r="F319" s="874"/>
      <c r="G319" s="507"/>
      <c r="H319" s="507"/>
      <c r="I319" s="511"/>
      <c r="J319" s="534"/>
      <c r="K319" s="518"/>
      <c r="L319" s="508"/>
      <c r="M319" s="507"/>
      <c r="N319" s="507"/>
      <c r="O319" s="507"/>
      <c r="P319" s="287"/>
      <c r="Q319" s="513"/>
      <c r="R319" s="508"/>
      <c r="S319" s="507"/>
      <c r="T319" s="507"/>
      <c r="U319" s="507"/>
      <c r="V319" s="287"/>
      <c r="W319" s="274"/>
      <c r="X319" s="508"/>
      <c r="Y319" s="865"/>
      <c r="Z319" s="865"/>
      <c r="AA319" s="865"/>
      <c r="AB319" s="287"/>
      <c r="AC319" s="507"/>
      <c r="AD319" s="907"/>
      <c r="AE319" s="507"/>
      <c r="AF319" s="507"/>
      <c r="AG319" s="907"/>
      <c r="AH319" s="286">
        <f>F318/E318*AH318</f>
        <v>4080.0000000000005</v>
      </c>
      <c r="AI319" s="507" t="s">
        <v>32</v>
      </c>
      <c r="AJ319" s="907"/>
      <c r="AK319" s="507"/>
      <c r="AL319" s="507"/>
      <c r="AM319" s="507"/>
      <c r="AN319" s="286"/>
      <c r="AO319" s="507"/>
      <c r="AP319" s="509"/>
      <c r="AQ319" s="634"/>
      <c r="AR319" s="606"/>
      <c r="AS319" s="394"/>
      <c r="AT319" s="393"/>
      <c r="AU319" s="395"/>
      <c r="AV319" s="278"/>
      <c r="AW319" s="278"/>
      <c r="AX319" s="278"/>
      <c r="AY319" s="278"/>
      <c r="AZ319" s="278"/>
      <c r="BA319" s="278"/>
      <c r="BB319" s="278"/>
      <c r="BC319" s="278"/>
      <c r="BD319" s="278"/>
    </row>
    <row r="320" spans="1:56" ht="33.75" customHeight="1">
      <c r="A320" s="869">
        <v>58</v>
      </c>
      <c r="B320" s="870">
        <v>805805</v>
      </c>
      <c r="C320" s="891" t="s">
        <v>717</v>
      </c>
      <c r="D320" s="892" t="s">
        <v>718</v>
      </c>
      <c r="E320" s="873">
        <v>5.9939999999999998</v>
      </c>
      <c r="F320" s="874">
        <v>35964</v>
      </c>
      <c r="G320" s="507"/>
      <c r="H320" s="507"/>
      <c r="I320" s="511" t="s">
        <v>482</v>
      </c>
      <c r="J320" s="534"/>
      <c r="K320" s="518"/>
      <c r="L320" s="508"/>
      <c r="M320" s="507"/>
      <c r="N320" s="129"/>
      <c r="O320" s="129"/>
      <c r="P320" s="286"/>
      <c r="Q320" s="518"/>
      <c r="R320" s="604"/>
      <c r="S320" s="507"/>
      <c r="T320" s="507"/>
      <c r="U320" s="507" t="s">
        <v>482</v>
      </c>
      <c r="V320" s="287"/>
      <c r="W320" s="274"/>
      <c r="X320" s="508"/>
      <c r="Y320" s="129"/>
      <c r="Z320" s="129"/>
      <c r="AA320" s="129"/>
      <c r="AB320" s="286"/>
      <c r="AC320" s="518"/>
      <c r="AD320" s="592"/>
      <c r="AE320" s="507"/>
      <c r="AF320" s="507"/>
      <c r="AG320" s="907" t="s">
        <v>31</v>
      </c>
      <c r="AH320" s="286">
        <v>0.68</v>
      </c>
      <c r="AI320" s="518" t="s">
        <v>17</v>
      </c>
      <c r="AJ320" s="907">
        <v>40800</v>
      </c>
      <c r="AK320" s="507"/>
      <c r="AL320" s="507"/>
      <c r="AM320" s="507" t="s">
        <v>482</v>
      </c>
      <c r="AN320" s="286"/>
      <c r="AO320" s="507"/>
      <c r="AP320" s="509"/>
      <c r="AQ320" s="634"/>
      <c r="AR320" s="606"/>
      <c r="AS320" s="394"/>
      <c r="AT320" s="393"/>
      <c r="AU320" s="395"/>
      <c r="AV320" s="278"/>
      <c r="AW320" s="278"/>
      <c r="AX320" s="278"/>
      <c r="AY320" s="278"/>
      <c r="AZ320" s="278"/>
      <c r="BA320" s="278"/>
      <c r="BB320" s="278"/>
      <c r="BC320" s="278"/>
      <c r="BD320" s="278"/>
    </row>
    <row r="321" spans="1:56" ht="33.75" customHeight="1">
      <c r="A321" s="869"/>
      <c r="B321" s="870"/>
      <c r="C321" s="915"/>
      <c r="D321" s="892"/>
      <c r="E321" s="873"/>
      <c r="F321" s="874"/>
      <c r="G321" s="507"/>
      <c r="H321" s="507"/>
      <c r="I321" s="511"/>
      <c r="J321" s="534"/>
      <c r="K321" s="518"/>
      <c r="L321" s="508"/>
      <c r="M321" s="507"/>
      <c r="N321" s="129"/>
      <c r="O321" s="129"/>
      <c r="P321" s="287"/>
      <c r="Q321" s="507"/>
      <c r="R321" s="604"/>
      <c r="S321" s="507"/>
      <c r="T321" s="507"/>
      <c r="U321" s="507"/>
      <c r="V321" s="287"/>
      <c r="W321" s="274"/>
      <c r="X321" s="508"/>
      <c r="Y321" s="129"/>
      <c r="Z321" s="129"/>
      <c r="AA321" s="129"/>
      <c r="AB321" s="287"/>
      <c r="AC321" s="507"/>
      <c r="AD321" s="592"/>
      <c r="AE321" s="507"/>
      <c r="AF321" s="507"/>
      <c r="AG321" s="907"/>
      <c r="AH321" s="286">
        <f>F320/E320*AH320</f>
        <v>4080.0000000000005</v>
      </c>
      <c r="AI321" s="507" t="s">
        <v>32</v>
      </c>
      <c r="AJ321" s="907"/>
      <c r="AK321" s="507"/>
      <c r="AL321" s="507"/>
      <c r="AM321" s="507"/>
      <c r="AN321" s="286"/>
      <c r="AO321" s="507"/>
      <c r="AP321" s="509"/>
      <c r="AQ321" s="634"/>
      <c r="AR321" s="606"/>
      <c r="AS321" s="394"/>
      <c r="AT321" s="393"/>
      <c r="AU321" s="395"/>
      <c r="AV321" s="278"/>
      <c r="AW321" s="278"/>
      <c r="AX321" s="278"/>
      <c r="AY321" s="278"/>
      <c r="AZ321" s="278"/>
      <c r="BA321" s="278"/>
      <c r="BB321" s="278"/>
      <c r="BC321" s="278"/>
      <c r="BD321" s="278"/>
    </row>
    <row r="322" spans="1:56" ht="64.5" customHeight="1">
      <c r="A322" s="869">
        <v>59</v>
      </c>
      <c r="B322" s="870" t="s">
        <v>719</v>
      </c>
      <c r="C322" s="891" t="s">
        <v>720</v>
      </c>
      <c r="D322" s="892" t="s">
        <v>721</v>
      </c>
      <c r="E322" s="873">
        <v>10.973000000000001</v>
      </c>
      <c r="F322" s="874">
        <v>72421.8</v>
      </c>
      <c r="G322" s="507"/>
      <c r="H322" s="507"/>
      <c r="I322" s="511"/>
      <c r="J322" s="534"/>
      <c r="K322" s="518"/>
      <c r="L322" s="508"/>
      <c r="M322" s="507"/>
      <c r="N322" s="129"/>
      <c r="O322" s="129"/>
      <c r="P322" s="286"/>
      <c r="Q322" s="518"/>
      <c r="R322" s="604"/>
      <c r="S322" s="129"/>
      <c r="T322" s="129"/>
      <c r="U322" s="129"/>
      <c r="V322" s="286"/>
      <c r="W322" s="518"/>
      <c r="X322" s="604"/>
      <c r="Y322" s="507"/>
      <c r="Z322" s="507"/>
      <c r="AA322" s="507"/>
      <c r="AB322" s="286"/>
      <c r="AC322" s="274"/>
      <c r="AD322" s="509"/>
      <c r="AE322" s="507"/>
      <c r="AF322" s="507"/>
      <c r="AG322" s="907" t="s">
        <v>31</v>
      </c>
      <c r="AH322" s="286">
        <v>0.68</v>
      </c>
      <c r="AI322" s="518" t="s">
        <v>17</v>
      </c>
      <c r="AJ322" s="907">
        <v>40800</v>
      </c>
      <c r="AK322" s="507"/>
      <c r="AL322" s="507"/>
      <c r="AM322" s="507" t="s">
        <v>482</v>
      </c>
      <c r="AN322" s="286"/>
      <c r="AO322" s="507"/>
      <c r="AP322" s="509"/>
      <c r="AQ322" s="634"/>
      <c r="AR322" s="606"/>
      <c r="AS322" s="394"/>
      <c r="AT322" s="393"/>
      <c r="AU322" s="395"/>
      <c r="AV322" s="278"/>
      <c r="AW322" s="278"/>
      <c r="AX322" s="278"/>
      <c r="AY322" s="278"/>
      <c r="AZ322" s="278"/>
      <c r="BA322" s="278"/>
      <c r="BB322" s="278"/>
      <c r="BC322" s="278"/>
      <c r="BD322" s="278"/>
    </row>
    <row r="323" spans="1:56" ht="64.5" customHeight="1">
      <c r="A323" s="869"/>
      <c r="B323" s="870"/>
      <c r="C323" s="891"/>
      <c r="D323" s="892"/>
      <c r="E323" s="873"/>
      <c r="F323" s="874"/>
      <c r="G323" s="507"/>
      <c r="H323" s="507"/>
      <c r="I323" s="511"/>
      <c r="J323" s="534"/>
      <c r="K323" s="518"/>
      <c r="L323" s="508"/>
      <c r="M323" s="507"/>
      <c r="N323" s="129"/>
      <c r="O323" s="129"/>
      <c r="P323" s="287"/>
      <c r="Q323" s="507"/>
      <c r="R323" s="604"/>
      <c r="S323" s="129"/>
      <c r="T323" s="129"/>
      <c r="U323" s="129"/>
      <c r="V323" s="287"/>
      <c r="W323" s="507"/>
      <c r="X323" s="604"/>
      <c r="Y323" s="507"/>
      <c r="Z323" s="507"/>
      <c r="AA323" s="507"/>
      <c r="AB323" s="286"/>
      <c r="AC323" s="274"/>
      <c r="AD323" s="509"/>
      <c r="AE323" s="507"/>
      <c r="AF323" s="507"/>
      <c r="AG323" s="907"/>
      <c r="AH323" s="286">
        <f>F322/E322*AH322</f>
        <v>4488</v>
      </c>
      <c r="AI323" s="507" t="s">
        <v>32</v>
      </c>
      <c r="AJ323" s="907"/>
      <c r="AK323" s="507"/>
      <c r="AL323" s="507"/>
      <c r="AM323" s="507"/>
      <c r="AN323" s="286"/>
      <c r="AO323" s="507"/>
      <c r="AP323" s="509"/>
      <c r="AQ323" s="634"/>
      <c r="AR323" s="606"/>
      <c r="AS323" s="394"/>
      <c r="AT323" s="393"/>
      <c r="AU323" s="395"/>
      <c r="AV323" s="278"/>
      <c r="AW323" s="278"/>
      <c r="AX323" s="278"/>
      <c r="AY323" s="278"/>
      <c r="AZ323" s="278"/>
      <c r="BA323" s="278"/>
      <c r="BB323" s="278"/>
      <c r="BC323" s="278"/>
      <c r="BD323" s="278"/>
    </row>
    <row r="324" spans="1:56" ht="45.75" customHeight="1">
      <c r="A324" s="869">
        <v>60</v>
      </c>
      <c r="B324" s="870" t="s">
        <v>722</v>
      </c>
      <c r="C324" s="891" t="s">
        <v>723</v>
      </c>
      <c r="D324" s="892" t="s">
        <v>724</v>
      </c>
      <c r="E324" s="873">
        <v>9.0020000000000007</v>
      </c>
      <c r="F324" s="874">
        <v>54012</v>
      </c>
      <c r="G324" s="507"/>
      <c r="H324" s="507"/>
      <c r="I324" s="511"/>
      <c r="J324" s="534"/>
      <c r="K324" s="518"/>
      <c r="L324" s="508"/>
      <c r="M324" s="507"/>
      <c r="N324" s="507"/>
      <c r="O324" s="507"/>
      <c r="P324" s="287"/>
      <c r="Q324" s="513"/>
      <c r="R324" s="508"/>
      <c r="S324" s="507"/>
      <c r="T324" s="507"/>
      <c r="U324" s="507" t="s">
        <v>482</v>
      </c>
      <c r="V324" s="287"/>
      <c r="W324" s="274"/>
      <c r="X324" s="508"/>
      <c r="Y324" s="129"/>
      <c r="Z324" s="129"/>
      <c r="AA324" s="129"/>
      <c r="AB324" s="286"/>
      <c r="AC324" s="518"/>
      <c r="AD324" s="592"/>
      <c r="AE324" s="507"/>
      <c r="AF324" s="507"/>
      <c r="AG324" s="907" t="s">
        <v>31</v>
      </c>
      <c r="AH324" s="286">
        <v>0.68</v>
      </c>
      <c r="AI324" s="518" t="s">
        <v>17</v>
      </c>
      <c r="AJ324" s="907">
        <v>40800</v>
      </c>
      <c r="AK324" s="507"/>
      <c r="AL324" s="507"/>
      <c r="AM324" s="507" t="s">
        <v>482</v>
      </c>
      <c r="AN324" s="286"/>
      <c r="AO324" s="507"/>
      <c r="AP324" s="509"/>
      <c r="AQ324" s="634"/>
      <c r="AR324" s="606"/>
      <c r="AS324" s="394"/>
      <c r="AT324" s="393"/>
      <c r="AU324" s="395"/>
      <c r="AV324" s="278"/>
      <c r="AW324" s="278"/>
      <c r="AX324" s="278"/>
      <c r="AY324" s="278"/>
      <c r="AZ324" s="278"/>
      <c r="BA324" s="278"/>
      <c r="BB324" s="278"/>
      <c r="BC324" s="278"/>
      <c r="BD324" s="278"/>
    </row>
    <row r="325" spans="1:56" ht="45.75" customHeight="1">
      <c r="A325" s="869"/>
      <c r="B325" s="870"/>
      <c r="C325" s="891"/>
      <c r="D325" s="892"/>
      <c r="E325" s="873"/>
      <c r="F325" s="874"/>
      <c r="G325" s="507"/>
      <c r="H325" s="507"/>
      <c r="I325" s="511"/>
      <c r="J325" s="534"/>
      <c r="K325" s="518"/>
      <c r="L325" s="508"/>
      <c r="M325" s="507"/>
      <c r="N325" s="507"/>
      <c r="O325" s="507"/>
      <c r="P325" s="287"/>
      <c r="Q325" s="513"/>
      <c r="R325" s="508"/>
      <c r="S325" s="507"/>
      <c r="T325" s="507"/>
      <c r="U325" s="507"/>
      <c r="V325" s="287"/>
      <c r="W325" s="274"/>
      <c r="X325" s="508"/>
      <c r="Y325" s="129"/>
      <c r="Z325" s="129"/>
      <c r="AA325" s="129"/>
      <c r="AB325" s="287"/>
      <c r="AC325" s="507"/>
      <c r="AD325" s="592"/>
      <c r="AE325" s="507"/>
      <c r="AF325" s="507"/>
      <c r="AG325" s="907"/>
      <c r="AH325" s="286">
        <f>F324/E324*AH324</f>
        <v>4080.0000000000005</v>
      </c>
      <c r="AI325" s="507" t="s">
        <v>32</v>
      </c>
      <c r="AJ325" s="907"/>
      <c r="AK325" s="507"/>
      <c r="AL325" s="507"/>
      <c r="AM325" s="507"/>
      <c r="AN325" s="286"/>
      <c r="AO325" s="507"/>
      <c r="AP325" s="509"/>
      <c r="AQ325" s="634"/>
      <c r="AR325" s="606"/>
      <c r="AS325" s="394"/>
      <c r="AT325" s="393"/>
      <c r="AU325" s="395"/>
      <c r="AV325" s="278"/>
      <c r="AW325" s="278"/>
      <c r="AX325" s="278"/>
      <c r="AY325" s="278"/>
      <c r="AZ325" s="278"/>
      <c r="BA325" s="278"/>
      <c r="BB325" s="278"/>
      <c r="BC325" s="278"/>
      <c r="BD325" s="278"/>
    </row>
    <row r="326" spans="1:56" ht="66" customHeight="1">
      <c r="A326" s="869">
        <v>61</v>
      </c>
      <c r="B326" s="870" t="s">
        <v>725</v>
      </c>
      <c r="C326" s="891" t="s">
        <v>726</v>
      </c>
      <c r="D326" s="892" t="s">
        <v>727</v>
      </c>
      <c r="E326" s="873">
        <v>3.15</v>
      </c>
      <c r="F326" s="874">
        <v>22050</v>
      </c>
      <c r="G326" s="507"/>
      <c r="H326" s="507"/>
      <c r="I326" s="511"/>
      <c r="J326" s="534"/>
      <c r="K326" s="518"/>
      <c r="L326" s="508"/>
      <c r="M326" s="507"/>
      <c r="N326" s="129"/>
      <c r="O326" s="129"/>
      <c r="P326" s="286"/>
      <c r="Q326" s="518"/>
      <c r="R326" s="604"/>
      <c r="S326" s="507"/>
      <c r="T326" s="507"/>
      <c r="U326" s="507" t="s">
        <v>482</v>
      </c>
      <c r="V326" s="287"/>
      <c r="W326" s="274"/>
      <c r="X326" s="508"/>
      <c r="Y326" s="507"/>
      <c r="Z326" s="507"/>
      <c r="AA326" s="507" t="s">
        <v>482</v>
      </c>
      <c r="AB326" s="286"/>
      <c r="AC326" s="274"/>
      <c r="AD326" s="509"/>
      <c r="AE326" s="507"/>
      <c r="AF326" s="507"/>
      <c r="AG326" s="907" t="s">
        <v>31</v>
      </c>
      <c r="AH326" s="286">
        <v>0.68</v>
      </c>
      <c r="AI326" s="518" t="s">
        <v>17</v>
      </c>
      <c r="AJ326" s="907">
        <v>40800</v>
      </c>
      <c r="AK326" s="507"/>
      <c r="AL326" s="507"/>
      <c r="AM326" s="507" t="s">
        <v>482</v>
      </c>
      <c r="AN326" s="286"/>
      <c r="AO326" s="507"/>
      <c r="AP326" s="509"/>
      <c r="AQ326" s="634"/>
      <c r="AR326" s="606"/>
      <c r="AS326" s="394"/>
      <c r="AT326" s="393"/>
      <c r="AU326" s="395"/>
      <c r="AV326" s="278"/>
      <c r="AW326" s="278"/>
      <c r="AX326" s="278"/>
      <c r="AY326" s="278"/>
      <c r="AZ326" s="278"/>
      <c r="BA326" s="278"/>
      <c r="BB326" s="278"/>
      <c r="BC326" s="278"/>
      <c r="BD326" s="278"/>
    </row>
    <row r="327" spans="1:56" ht="66" customHeight="1">
      <c r="A327" s="869"/>
      <c r="B327" s="870"/>
      <c r="C327" s="891"/>
      <c r="D327" s="892"/>
      <c r="E327" s="873"/>
      <c r="F327" s="874"/>
      <c r="G327" s="507"/>
      <c r="H327" s="507"/>
      <c r="I327" s="511"/>
      <c r="J327" s="534"/>
      <c r="K327" s="518"/>
      <c r="L327" s="508"/>
      <c r="M327" s="507"/>
      <c r="N327" s="129"/>
      <c r="O327" s="129"/>
      <c r="P327" s="287"/>
      <c r="Q327" s="507"/>
      <c r="R327" s="604"/>
      <c r="S327" s="507"/>
      <c r="T327" s="507"/>
      <c r="U327" s="507"/>
      <c r="V327" s="287"/>
      <c r="W327" s="274"/>
      <c r="X327" s="508"/>
      <c r="Y327" s="507"/>
      <c r="Z327" s="507"/>
      <c r="AA327" s="507"/>
      <c r="AB327" s="286"/>
      <c r="AC327" s="274"/>
      <c r="AD327" s="509"/>
      <c r="AE327" s="507"/>
      <c r="AF327" s="507"/>
      <c r="AG327" s="907"/>
      <c r="AH327" s="286">
        <f>F326/E326*AH326</f>
        <v>4760</v>
      </c>
      <c r="AI327" s="507" t="s">
        <v>32</v>
      </c>
      <c r="AJ327" s="907"/>
      <c r="AK327" s="507"/>
      <c r="AL327" s="507"/>
      <c r="AM327" s="507"/>
      <c r="AN327" s="286"/>
      <c r="AO327" s="507"/>
      <c r="AP327" s="509"/>
      <c r="AQ327" s="634"/>
      <c r="AR327" s="606"/>
      <c r="AS327" s="394"/>
      <c r="AT327" s="393"/>
      <c r="AU327" s="395"/>
      <c r="AV327" s="278"/>
      <c r="AW327" s="278"/>
      <c r="AX327" s="278"/>
      <c r="AY327" s="278"/>
      <c r="AZ327" s="278"/>
      <c r="BA327" s="278"/>
      <c r="BB327" s="278"/>
      <c r="BC327" s="278"/>
      <c r="BD327" s="278"/>
    </row>
    <row r="328" spans="1:56" ht="62.25" customHeight="1">
      <c r="A328" s="869">
        <v>62</v>
      </c>
      <c r="B328" s="870" t="s">
        <v>728</v>
      </c>
      <c r="C328" s="891" t="s">
        <v>729</v>
      </c>
      <c r="D328" s="892" t="s">
        <v>730</v>
      </c>
      <c r="E328" s="873">
        <v>1.96</v>
      </c>
      <c r="F328" s="874">
        <v>13720</v>
      </c>
      <c r="G328" s="507"/>
      <c r="H328" s="507"/>
      <c r="I328" s="511"/>
      <c r="J328" s="534"/>
      <c r="K328" s="518"/>
      <c r="L328" s="508"/>
      <c r="M328" s="507"/>
      <c r="N328" s="129"/>
      <c r="O328" s="129"/>
      <c r="P328" s="286"/>
      <c r="Q328" s="518"/>
      <c r="R328" s="604"/>
      <c r="S328" s="507"/>
      <c r="T328" s="507"/>
      <c r="U328" s="507" t="s">
        <v>482</v>
      </c>
      <c r="V328" s="287"/>
      <c r="W328" s="274"/>
      <c r="X328" s="508"/>
      <c r="Y328" s="507"/>
      <c r="Z328" s="507"/>
      <c r="AA328" s="507" t="s">
        <v>482</v>
      </c>
      <c r="AB328" s="286"/>
      <c r="AC328" s="274"/>
      <c r="AD328" s="509"/>
      <c r="AE328" s="507"/>
      <c r="AF328" s="507"/>
      <c r="AG328" s="907" t="s">
        <v>31</v>
      </c>
      <c r="AH328" s="286">
        <v>0.62</v>
      </c>
      <c r="AI328" s="518" t="s">
        <v>17</v>
      </c>
      <c r="AJ328" s="907">
        <v>37200</v>
      </c>
      <c r="AK328" s="507"/>
      <c r="AL328" s="507"/>
      <c r="AM328" s="507" t="s">
        <v>482</v>
      </c>
      <c r="AN328" s="286"/>
      <c r="AO328" s="507"/>
      <c r="AP328" s="509"/>
      <c r="AQ328" s="634"/>
      <c r="AR328" s="606"/>
      <c r="AS328" s="394"/>
      <c r="AT328" s="393"/>
      <c r="AU328" s="395"/>
      <c r="AV328" s="278"/>
      <c r="AW328" s="278"/>
      <c r="AX328" s="278"/>
      <c r="AY328" s="278"/>
      <c r="AZ328" s="278"/>
      <c r="BA328" s="278"/>
      <c r="BB328" s="278"/>
      <c r="BC328" s="278"/>
      <c r="BD328" s="278"/>
    </row>
    <row r="329" spans="1:56" ht="62.25" customHeight="1">
      <c r="A329" s="869"/>
      <c r="B329" s="870"/>
      <c r="C329" s="891"/>
      <c r="D329" s="892"/>
      <c r="E329" s="873"/>
      <c r="F329" s="874"/>
      <c r="G329" s="507"/>
      <c r="H329" s="507"/>
      <c r="I329" s="511"/>
      <c r="J329" s="534"/>
      <c r="K329" s="518"/>
      <c r="L329" s="508"/>
      <c r="M329" s="507"/>
      <c r="N329" s="129"/>
      <c r="O329" s="129"/>
      <c r="P329" s="287"/>
      <c r="Q329" s="507"/>
      <c r="R329" s="604"/>
      <c r="S329" s="507"/>
      <c r="T329" s="507"/>
      <c r="U329" s="507"/>
      <c r="V329" s="287"/>
      <c r="W329" s="274"/>
      <c r="X329" s="508"/>
      <c r="Y329" s="507"/>
      <c r="Z329" s="507"/>
      <c r="AA329" s="507"/>
      <c r="AB329" s="286"/>
      <c r="AC329" s="274"/>
      <c r="AD329" s="509"/>
      <c r="AE329" s="507"/>
      <c r="AF329" s="507"/>
      <c r="AG329" s="907"/>
      <c r="AH329" s="286">
        <f>F328/E328*AH328</f>
        <v>4340</v>
      </c>
      <c r="AI329" s="507" t="s">
        <v>32</v>
      </c>
      <c r="AJ329" s="907"/>
      <c r="AK329" s="507"/>
      <c r="AL329" s="507"/>
      <c r="AM329" s="507"/>
      <c r="AN329" s="286"/>
      <c r="AO329" s="507"/>
      <c r="AP329" s="509"/>
      <c r="AQ329" s="634"/>
      <c r="AR329" s="606"/>
      <c r="AS329" s="394"/>
      <c r="AT329" s="393"/>
      <c r="AU329" s="395"/>
      <c r="AV329" s="278"/>
      <c r="AW329" s="278"/>
      <c r="AX329" s="278"/>
      <c r="AY329" s="278"/>
      <c r="AZ329" s="278"/>
      <c r="BA329" s="278"/>
      <c r="BB329" s="278"/>
      <c r="BC329" s="278"/>
      <c r="BD329" s="278"/>
    </row>
    <row r="330" spans="1:56" ht="62.25" customHeight="1">
      <c r="A330" s="869">
        <v>63</v>
      </c>
      <c r="B330" s="870" t="s">
        <v>731</v>
      </c>
      <c r="C330" s="891" t="s">
        <v>732</v>
      </c>
      <c r="D330" s="892" t="s">
        <v>733</v>
      </c>
      <c r="E330" s="873">
        <v>20.3</v>
      </c>
      <c r="F330" s="874">
        <v>113477</v>
      </c>
      <c r="G330" s="507"/>
      <c r="H330" s="507"/>
      <c r="I330" s="511"/>
      <c r="J330" s="534"/>
      <c r="K330" s="518"/>
      <c r="L330" s="508"/>
      <c r="M330" s="507"/>
      <c r="N330" s="507"/>
      <c r="O330" s="507" t="s">
        <v>482</v>
      </c>
      <c r="P330" s="287"/>
      <c r="Q330" s="513"/>
      <c r="R330" s="508"/>
      <c r="S330" s="129"/>
      <c r="T330" s="129"/>
      <c r="U330" s="129"/>
      <c r="V330" s="286"/>
      <c r="W330" s="518"/>
      <c r="X330" s="604"/>
      <c r="Y330" s="507"/>
      <c r="Z330" s="507"/>
      <c r="AA330" s="507" t="s">
        <v>482</v>
      </c>
      <c r="AB330" s="286"/>
      <c r="AC330" s="274"/>
      <c r="AD330" s="509"/>
      <c r="AE330" s="507"/>
      <c r="AF330" s="507"/>
      <c r="AG330" s="907" t="s">
        <v>31</v>
      </c>
      <c r="AH330" s="286">
        <v>0.62</v>
      </c>
      <c r="AI330" s="518" t="s">
        <v>17</v>
      </c>
      <c r="AJ330" s="907">
        <v>37200</v>
      </c>
      <c r="AK330" s="507"/>
      <c r="AL330" s="507"/>
      <c r="AM330" s="507" t="s">
        <v>482</v>
      </c>
      <c r="AN330" s="286"/>
      <c r="AO330" s="507"/>
      <c r="AP330" s="509"/>
      <c r="AQ330" s="634"/>
      <c r="AR330" s="606"/>
      <c r="AS330" s="394"/>
      <c r="AT330" s="393"/>
      <c r="AU330" s="395"/>
      <c r="AV330" s="278"/>
      <c r="AW330" s="278"/>
      <c r="AX330" s="278"/>
      <c r="AY330" s="278"/>
      <c r="AZ330" s="278"/>
      <c r="BA330" s="278"/>
      <c r="BB330" s="278"/>
      <c r="BC330" s="278"/>
      <c r="BD330" s="278"/>
    </row>
    <row r="331" spans="1:56" ht="62.25" customHeight="1">
      <c r="A331" s="869"/>
      <c r="B331" s="870"/>
      <c r="C331" s="891"/>
      <c r="D331" s="892"/>
      <c r="E331" s="873"/>
      <c r="F331" s="874"/>
      <c r="G331" s="507"/>
      <c r="H331" s="507"/>
      <c r="I331" s="511"/>
      <c r="J331" s="534"/>
      <c r="K331" s="518"/>
      <c r="L331" s="508"/>
      <c r="M331" s="507"/>
      <c r="N331" s="507"/>
      <c r="O331" s="507"/>
      <c r="P331" s="287"/>
      <c r="Q331" s="513"/>
      <c r="R331" s="508"/>
      <c r="S331" s="129"/>
      <c r="T331" s="129"/>
      <c r="U331" s="129"/>
      <c r="V331" s="287"/>
      <c r="W331" s="507"/>
      <c r="X331" s="604"/>
      <c r="Y331" s="507"/>
      <c r="Z331" s="507"/>
      <c r="AA331" s="507"/>
      <c r="AB331" s="286"/>
      <c r="AC331" s="274"/>
      <c r="AD331" s="509"/>
      <c r="AE331" s="507"/>
      <c r="AF331" s="507"/>
      <c r="AG331" s="907"/>
      <c r="AH331" s="286">
        <f>F330/E330*AH330</f>
        <v>3465.8</v>
      </c>
      <c r="AI331" s="507" t="s">
        <v>32</v>
      </c>
      <c r="AJ331" s="907"/>
      <c r="AK331" s="507"/>
      <c r="AL331" s="507"/>
      <c r="AM331" s="507"/>
      <c r="AN331" s="286"/>
      <c r="AO331" s="507"/>
      <c r="AP331" s="509"/>
      <c r="AQ331" s="634"/>
      <c r="AR331" s="606"/>
      <c r="AS331" s="394"/>
      <c r="AT331" s="393"/>
      <c r="AU331" s="395"/>
      <c r="AV331" s="278"/>
      <c r="AW331" s="278"/>
      <c r="AX331" s="278"/>
      <c r="AY331" s="278"/>
      <c r="AZ331" s="278"/>
      <c r="BA331" s="278"/>
      <c r="BB331" s="278"/>
      <c r="BC331" s="278"/>
      <c r="BD331" s="278"/>
    </row>
    <row r="332" spans="1:56" ht="45.75" customHeight="1">
      <c r="A332" s="869">
        <v>64</v>
      </c>
      <c r="B332" s="870" t="s">
        <v>734</v>
      </c>
      <c r="C332" s="891" t="s">
        <v>735</v>
      </c>
      <c r="D332" s="892" t="s">
        <v>736</v>
      </c>
      <c r="E332" s="873">
        <v>9.8930000000000007</v>
      </c>
      <c r="F332" s="874">
        <v>59358</v>
      </c>
      <c r="G332" s="507"/>
      <c r="H332" s="507"/>
      <c r="I332" s="511"/>
      <c r="J332" s="534"/>
      <c r="K332" s="518"/>
      <c r="L332" s="508"/>
      <c r="M332" s="507"/>
      <c r="N332" s="507"/>
      <c r="O332" s="507" t="s">
        <v>482</v>
      </c>
      <c r="P332" s="287"/>
      <c r="Q332" s="513"/>
      <c r="R332" s="508"/>
      <c r="S332" s="865"/>
      <c r="T332" s="865"/>
      <c r="U332" s="865"/>
      <c r="V332" s="286"/>
      <c r="W332" s="518"/>
      <c r="X332" s="866"/>
      <c r="Y332" s="507"/>
      <c r="Z332" s="507"/>
      <c r="AA332" s="507" t="s">
        <v>482</v>
      </c>
      <c r="AB332" s="286"/>
      <c r="AC332" s="274"/>
      <c r="AD332" s="509"/>
      <c r="AE332" s="507"/>
      <c r="AF332" s="507"/>
      <c r="AG332" s="907" t="s">
        <v>31</v>
      </c>
      <c r="AH332" s="286">
        <v>0.62</v>
      </c>
      <c r="AI332" s="518" t="s">
        <v>17</v>
      </c>
      <c r="AJ332" s="907">
        <v>37200</v>
      </c>
      <c r="AK332" s="507"/>
      <c r="AL332" s="507"/>
      <c r="AM332" s="507" t="s">
        <v>482</v>
      </c>
      <c r="AN332" s="286"/>
      <c r="AO332" s="507"/>
      <c r="AP332" s="509"/>
      <c r="AQ332" s="634"/>
      <c r="AR332" s="606"/>
      <c r="AS332" s="394"/>
      <c r="AT332" s="393"/>
      <c r="AU332" s="395"/>
      <c r="AV332" s="278"/>
      <c r="AW332" s="278"/>
      <c r="AX332" s="278"/>
      <c r="AY332" s="278"/>
      <c r="AZ332" s="278"/>
      <c r="BA332" s="278"/>
      <c r="BB332" s="278"/>
      <c r="BC332" s="278"/>
      <c r="BD332" s="278"/>
    </row>
    <row r="333" spans="1:56" ht="45.75" customHeight="1">
      <c r="A333" s="869"/>
      <c r="B333" s="870"/>
      <c r="C333" s="891"/>
      <c r="D333" s="892"/>
      <c r="E333" s="873"/>
      <c r="F333" s="874"/>
      <c r="G333" s="507"/>
      <c r="H333" s="507"/>
      <c r="I333" s="511"/>
      <c r="J333" s="534"/>
      <c r="K333" s="518"/>
      <c r="L333" s="508"/>
      <c r="M333" s="507"/>
      <c r="N333" s="507"/>
      <c r="O333" s="507"/>
      <c r="P333" s="287"/>
      <c r="Q333" s="513"/>
      <c r="R333" s="508"/>
      <c r="S333" s="865"/>
      <c r="T333" s="865"/>
      <c r="U333" s="865"/>
      <c r="V333" s="287"/>
      <c r="W333" s="507"/>
      <c r="X333" s="866"/>
      <c r="Y333" s="507"/>
      <c r="Z333" s="507"/>
      <c r="AA333" s="507"/>
      <c r="AB333" s="286"/>
      <c r="AC333" s="274"/>
      <c r="AD333" s="509"/>
      <c r="AE333" s="507"/>
      <c r="AF333" s="507"/>
      <c r="AG333" s="907"/>
      <c r="AH333" s="286">
        <f>F332/E332*AH332</f>
        <v>3720</v>
      </c>
      <c r="AI333" s="507" t="s">
        <v>32</v>
      </c>
      <c r="AJ333" s="907"/>
      <c r="AK333" s="507"/>
      <c r="AL333" s="507"/>
      <c r="AM333" s="507"/>
      <c r="AN333" s="286"/>
      <c r="AO333" s="507"/>
      <c r="AP333" s="509"/>
      <c r="AQ333" s="634"/>
      <c r="AR333" s="606"/>
      <c r="AS333" s="394"/>
      <c r="AT333" s="393"/>
      <c r="AU333" s="395"/>
      <c r="AV333" s="278"/>
      <c r="AW333" s="278"/>
      <c r="AX333" s="278"/>
      <c r="AY333" s="278"/>
      <c r="AZ333" s="278"/>
      <c r="BA333" s="278"/>
      <c r="BB333" s="278"/>
      <c r="BC333" s="278"/>
      <c r="BD333" s="278"/>
    </row>
    <row r="334" spans="1:56" ht="33.75" customHeight="1">
      <c r="A334" s="869">
        <v>65</v>
      </c>
      <c r="B334" s="870" t="s">
        <v>737</v>
      </c>
      <c r="C334" s="891" t="s">
        <v>738</v>
      </c>
      <c r="D334" s="892" t="s">
        <v>739</v>
      </c>
      <c r="E334" s="873">
        <v>6</v>
      </c>
      <c r="F334" s="874">
        <v>36000</v>
      </c>
      <c r="G334" s="507"/>
      <c r="H334" s="507"/>
      <c r="I334" s="511"/>
      <c r="J334" s="534"/>
      <c r="K334" s="518"/>
      <c r="L334" s="508"/>
      <c r="M334" s="518"/>
      <c r="N334" s="513"/>
      <c r="O334" s="513"/>
      <c r="P334" s="288"/>
      <c r="Q334" s="513"/>
      <c r="R334" s="605"/>
      <c r="S334" s="507"/>
      <c r="T334" s="507"/>
      <c r="U334" s="507"/>
      <c r="V334" s="287"/>
      <c r="W334" s="274"/>
      <c r="X334" s="508"/>
      <c r="Y334" s="507"/>
      <c r="Z334" s="507"/>
      <c r="AA334" s="507" t="s">
        <v>482</v>
      </c>
      <c r="AB334" s="286"/>
      <c r="AC334" s="274"/>
      <c r="AD334" s="509"/>
      <c r="AE334" s="507"/>
      <c r="AF334" s="507"/>
      <c r="AG334" s="507" t="s">
        <v>482</v>
      </c>
      <c r="AH334" s="286"/>
      <c r="AI334" s="507"/>
      <c r="AJ334" s="509"/>
      <c r="AK334" s="507"/>
      <c r="AL334" s="507"/>
      <c r="AM334" s="907" t="s">
        <v>31</v>
      </c>
      <c r="AN334" s="286">
        <v>0.75</v>
      </c>
      <c r="AO334" s="518" t="s">
        <v>17</v>
      </c>
      <c r="AP334" s="907">
        <v>45000</v>
      </c>
      <c r="AQ334" s="634"/>
      <c r="AR334" s="606"/>
      <c r="AS334" s="394"/>
      <c r="AT334" s="393"/>
      <c r="AU334" s="395"/>
      <c r="AV334" s="278"/>
      <c r="AW334" s="278"/>
      <c r="AX334" s="278"/>
      <c r="AY334" s="278"/>
      <c r="AZ334" s="278"/>
      <c r="BA334" s="278"/>
      <c r="BB334" s="278"/>
      <c r="BC334" s="278"/>
      <c r="BD334" s="278"/>
    </row>
    <row r="335" spans="1:56" ht="33.75" customHeight="1">
      <c r="A335" s="869"/>
      <c r="B335" s="870"/>
      <c r="C335" s="915"/>
      <c r="D335" s="892"/>
      <c r="E335" s="873"/>
      <c r="F335" s="874"/>
      <c r="G335" s="507"/>
      <c r="H335" s="507"/>
      <c r="I335" s="511"/>
      <c r="J335" s="534"/>
      <c r="K335" s="518"/>
      <c r="L335" s="508"/>
      <c r="M335" s="518"/>
      <c r="N335" s="513"/>
      <c r="O335" s="513"/>
      <c r="P335" s="288"/>
      <c r="Q335" s="513"/>
      <c r="R335" s="605"/>
      <c r="S335" s="507"/>
      <c r="T335" s="507"/>
      <c r="U335" s="507"/>
      <c r="V335" s="287"/>
      <c r="W335" s="274"/>
      <c r="X335" s="508"/>
      <c r="Y335" s="507"/>
      <c r="Z335" s="507"/>
      <c r="AA335" s="507"/>
      <c r="AB335" s="286"/>
      <c r="AC335" s="274"/>
      <c r="AD335" s="509"/>
      <c r="AE335" s="507"/>
      <c r="AF335" s="507"/>
      <c r="AG335" s="507"/>
      <c r="AH335" s="286"/>
      <c r="AI335" s="507"/>
      <c r="AJ335" s="509"/>
      <c r="AK335" s="507"/>
      <c r="AL335" s="507"/>
      <c r="AM335" s="907"/>
      <c r="AN335" s="286">
        <f>F334/E334*AN334</f>
        <v>4500</v>
      </c>
      <c r="AO335" s="507" t="s">
        <v>32</v>
      </c>
      <c r="AP335" s="907"/>
      <c r="AQ335" s="634"/>
      <c r="AR335" s="606"/>
      <c r="AS335" s="394"/>
      <c r="AT335" s="393"/>
      <c r="AU335" s="395"/>
      <c r="AV335" s="278"/>
      <c r="AW335" s="278"/>
      <c r="AX335" s="278"/>
      <c r="AY335" s="278"/>
      <c r="AZ335" s="278"/>
      <c r="BA335" s="278"/>
      <c r="BB335" s="278"/>
      <c r="BC335" s="278"/>
      <c r="BD335" s="278"/>
    </row>
    <row r="336" spans="1:56" ht="66" customHeight="1">
      <c r="A336" s="869">
        <v>66</v>
      </c>
      <c r="B336" s="870" t="s">
        <v>740</v>
      </c>
      <c r="C336" s="891" t="s">
        <v>741</v>
      </c>
      <c r="D336" s="892" t="s">
        <v>742</v>
      </c>
      <c r="E336" s="873">
        <v>1.1000000000000001</v>
      </c>
      <c r="F336" s="874">
        <v>7700</v>
      </c>
      <c r="G336" s="507"/>
      <c r="H336" s="507"/>
      <c r="I336" s="511"/>
      <c r="J336" s="534"/>
      <c r="K336" s="518"/>
      <c r="L336" s="508"/>
      <c r="M336" s="507"/>
      <c r="N336" s="507"/>
      <c r="O336" s="507" t="s">
        <v>482</v>
      </c>
      <c r="P336" s="287"/>
      <c r="Q336" s="513"/>
      <c r="R336" s="508"/>
      <c r="S336" s="507"/>
      <c r="T336" s="507"/>
      <c r="U336" s="507"/>
      <c r="V336" s="287"/>
      <c r="W336" s="274"/>
      <c r="X336" s="508"/>
      <c r="Y336" s="129"/>
      <c r="Z336" s="129"/>
      <c r="AA336" s="129"/>
      <c r="AB336" s="286"/>
      <c r="AC336" s="518"/>
      <c r="AD336" s="592"/>
      <c r="AE336" s="507"/>
      <c r="AF336" s="507"/>
      <c r="AG336" s="507" t="s">
        <v>482</v>
      </c>
      <c r="AH336" s="286"/>
      <c r="AI336" s="507"/>
      <c r="AJ336" s="509"/>
      <c r="AK336" s="507"/>
      <c r="AL336" s="507"/>
      <c r="AM336" s="907" t="s">
        <v>31</v>
      </c>
      <c r="AN336" s="286">
        <v>0.75</v>
      </c>
      <c r="AO336" s="518" t="s">
        <v>17</v>
      </c>
      <c r="AP336" s="907">
        <v>45000</v>
      </c>
      <c r="AQ336" s="634"/>
      <c r="AR336" s="606"/>
      <c r="AS336" s="394"/>
      <c r="AT336" s="393"/>
      <c r="AU336" s="395"/>
      <c r="AV336" s="278"/>
      <c r="AW336" s="278"/>
      <c r="AX336" s="278"/>
      <c r="AY336" s="278"/>
      <c r="AZ336" s="278"/>
      <c r="BA336" s="278"/>
      <c r="BB336" s="278"/>
      <c r="BC336" s="278"/>
      <c r="BD336" s="278"/>
    </row>
    <row r="337" spans="1:56" ht="66" customHeight="1">
      <c r="A337" s="869"/>
      <c r="B337" s="870"/>
      <c r="C337" s="891"/>
      <c r="D337" s="892"/>
      <c r="E337" s="873"/>
      <c r="F337" s="874"/>
      <c r="G337" s="507"/>
      <c r="H337" s="507"/>
      <c r="I337" s="511"/>
      <c r="J337" s="534"/>
      <c r="K337" s="518"/>
      <c r="L337" s="508"/>
      <c r="M337" s="507"/>
      <c r="N337" s="507"/>
      <c r="O337" s="507"/>
      <c r="P337" s="287"/>
      <c r="Q337" s="513"/>
      <c r="R337" s="508"/>
      <c r="S337" s="507"/>
      <c r="T337" s="507"/>
      <c r="U337" s="507"/>
      <c r="V337" s="287"/>
      <c r="W337" s="274"/>
      <c r="X337" s="508"/>
      <c r="Y337" s="129"/>
      <c r="Z337" s="129"/>
      <c r="AA337" s="129"/>
      <c r="AB337" s="287"/>
      <c r="AC337" s="507"/>
      <c r="AD337" s="592"/>
      <c r="AE337" s="507"/>
      <c r="AF337" s="507"/>
      <c r="AG337" s="507"/>
      <c r="AH337" s="286"/>
      <c r="AI337" s="507"/>
      <c r="AJ337" s="509"/>
      <c r="AK337" s="507"/>
      <c r="AL337" s="507"/>
      <c r="AM337" s="907"/>
      <c r="AN337" s="286">
        <f>F336/E336*AN336</f>
        <v>5249.9999999999991</v>
      </c>
      <c r="AO337" s="507" t="s">
        <v>32</v>
      </c>
      <c r="AP337" s="907"/>
      <c r="AQ337" s="634"/>
      <c r="AR337" s="606"/>
      <c r="AS337" s="394"/>
      <c r="AT337" s="393"/>
      <c r="AU337" s="395"/>
      <c r="AV337" s="278"/>
      <c r="AW337" s="278"/>
      <c r="AX337" s="278"/>
      <c r="AY337" s="278"/>
      <c r="AZ337" s="278"/>
      <c r="BA337" s="278"/>
      <c r="BB337" s="278"/>
      <c r="BC337" s="278"/>
      <c r="BD337" s="278"/>
    </row>
    <row r="338" spans="1:56" ht="33.75" customHeight="1">
      <c r="A338" s="869">
        <v>67</v>
      </c>
      <c r="B338" s="870" t="s">
        <v>743</v>
      </c>
      <c r="C338" s="891" t="s">
        <v>744</v>
      </c>
      <c r="D338" s="892" t="s">
        <v>745</v>
      </c>
      <c r="E338" s="873">
        <v>14.45</v>
      </c>
      <c r="F338" s="874">
        <v>86700</v>
      </c>
      <c r="G338" s="507"/>
      <c r="H338" s="507"/>
      <c r="I338" s="511"/>
      <c r="J338" s="534"/>
      <c r="K338" s="518"/>
      <c r="L338" s="508"/>
      <c r="M338" s="507"/>
      <c r="N338" s="507"/>
      <c r="O338" s="507" t="s">
        <v>482</v>
      </c>
      <c r="P338" s="287"/>
      <c r="Q338" s="513"/>
      <c r="R338" s="508"/>
      <c r="S338" s="507"/>
      <c r="T338" s="507"/>
      <c r="U338" s="507"/>
      <c r="V338" s="287"/>
      <c r="W338" s="274"/>
      <c r="X338" s="508"/>
      <c r="Y338" s="129"/>
      <c r="Z338" s="129"/>
      <c r="AA338" s="129"/>
      <c r="AB338" s="286"/>
      <c r="AC338" s="518"/>
      <c r="AD338" s="592"/>
      <c r="AE338" s="507"/>
      <c r="AF338" s="507"/>
      <c r="AG338" s="507" t="s">
        <v>482</v>
      </c>
      <c r="AH338" s="286"/>
      <c r="AI338" s="507"/>
      <c r="AJ338" s="509"/>
      <c r="AK338" s="865"/>
      <c r="AL338" s="865"/>
      <c r="AM338" s="907" t="s">
        <v>31</v>
      </c>
      <c r="AN338" s="286">
        <v>0.75</v>
      </c>
      <c r="AO338" s="518" t="s">
        <v>17</v>
      </c>
      <c r="AP338" s="907">
        <v>45000</v>
      </c>
      <c r="AQ338" s="634"/>
      <c r="AR338" s="606"/>
      <c r="AS338" s="394"/>
      <c r="AT338" s="393"/>
      <c r="AU338" s="395"/>
      <c r="AV338" s="278"/>
      <c r="AW338" s="278"/>
      <c r="AX338" s="278"/>
      <c r="AY338" s="278"/>
      <c r="AZ338" s="278"/>
      <c r="BA338" s="278"/>
      <c r="BB338" s="278"/>
      <c r="BC338" s="278"/>
      <c r="BD338" s="278"/>
    </row>
    <row r="339" spans="1:56" ht="33.75" customHeight="1">
      <c r="A339" s="869"/>
      <c r="B339" s="870"/>
      <c r="C339" s="891"/>
      <c r="D339" s="892"/>
      <c r="E339" s="873"/>
      <c r="F339" s="874"/>
      <c r="G339" s="507"/>
      <c r="H339" s="507"/>
      <c r="I339" s="511"/>
      <c r="J339" s="534"/>
      <c r="K339" s="518"/>
      <c r="L339" s="508"/>
      <c r="M339" s="507"/>
      <c r="N339" s="507"/>
      <c r="O339" s="507"/>
      <c r="P339" s="287"/>
      <c r="Q339" s="513"/>
      <c r="R339" s="508"/>
      <c r="S339" s="507"/>
      <c r="T339" s="507"/>
      <c r="U339" s="507"/>
      <c r="V339" s="287"/>
      <c r="W339" s="274"/>
      <c r="X339" s="508"/>
      <c r="Y339" s="129"/>
      <c r="Z339" s="129"/>
      <c r="AA339" s="129"/>
      <c r="AB339" s="286"/>
      <c r="AC339" s="507"/>
      <c r="AD339" s="592"/>
      <c r="AE339" s="507"/>
      <c r="AF339" s="507"/>
      <c r="AG339" s="507"/>
      <c r="AH339" s="286"/>
      <c r="AI339" s="507"/>
      <c r="AJ339" s="509"/>
      <c r="AK339" s="865"/>
      <c r="AL339" s="865"/>
      <c r="AM339" s="907"/>
      <c r="AN339" s="286">
        <f>F338/E338*AN338</f>
        <v>4500</v>
      </c>
      <c r="AO339" s="507" t="s">
        <v>32</v>
      </c>
      <c r="AP339" s="907"/>
      <c r="AQ339" s="634"/>
      <c r="AR339" s="606"/>
      <c r="AS339" s="394"/>
      <c r="AT339" s="393"/>
      <c r="AU339" s="395"/>
      <c r="AV339" s="278"/>
      <c r="AW339" s="278"/>
      <c r="AX339" s="278"/>
      <c r="AY339" s="278"/>
      <c r="AZ339" s="278"/>
      <c r="BA339" s="278"/>
      <c r="BB339" s="278"/>
      <c r="BC339" s="278"/>
      <c r="BD339" s="278"/>
    </row>
    <row r="340" spans="1:56" ht="33.75" customHeight="1">
      <c r="A340" s="869">
        <v>86</v>
      </c>
      <c r="B340" s="870" t="s">
        <v>746</v>
      </c>
      <c r="C340" s="891" t="s">
        <v>747</v>
      </c>
      <c r="D340" s="892" t="s">
        <v>748</v>
      </c>
      <c r="E340" s="873">
        <v>10.76</v>
      </c>
      <c r="F340" s="874">
        <v>75320</v>
      </c>
      <c r="G340" s="507"/>
      <c r="H340" s="507"/>
      <c r="I340" s="511"/>
      <c r="J340" s="534"/>
      <c r="K340" s="518"/>
      <c r="L340" s="508"/>
      <c r="M340" s="507"/>
      <c r="N340" s="507"/>
      <c r="O340" s="507" t="s">
        <v>482</v>
      </c>
      <c r="P340" s="287"/>
      <c r="Q340" s="513"/>
      <c r="R340" s="508"/>
      <c r="S340" s="507"/>
      <c r="T340" s="507"/>
      <c r="U340" s="507"/>
      <c r="V340" s="287"/>
      <c r="W340" s="274"/>
      <c r="X340" s="508"/>
      <c r="Y340" s="507"/>
      <c r="Z340" s="507"/>
      <c r="AA340" s="507" t="s">
        <v>482</v>
      </c>
      <c r="AB340" s="286"/>
      <c r="AC340" s="274"/>
      <c r="AD340" s="509"/>
      <c r="AE340" s="129"/>
      <c r="AF340" s="129"/>
      <c r="AG340" s="907" t="s">
        <v>31</v>
      </c>
      <c r="AH340" s="286">
        <v>0.62</v>
      </c>
      <c r="AI340" s="518" t="s">
        <v>17</v>
      </c>
      <c r="AJ340" s="907">
        <v>37200</v>
      </c>
      <c r="AK340" s="507"/>
      <c r="AL340" s="507"/>
      <c r="AM340" s="507" t="s">
        <v>482</v>
      </c>
      <c r="AN340" s="286"/>
      <c r="AO340" s="507"/>
      <c r="AP340" s="509"/>
      <c r="AQ340" s="634"/>
      <c r="AR340" s="606"/>
      <c r="AS340" s="394"/>
      <c r="AT340" s="393"/>
      <c r="AU340" s="395"/>
      <c r="AV340" s="278"/>
      <c r="AW340" s="278"/>
      <c r="AX340" s="278"/>
      <c r="AY340" s="278"/>
      <c r="AZ340" s="278"/>
      <c r="BA340" s="278"/>
      <c r="BB340" s="278"/>
      <c r="BC340" s="278"/>
      <c r="BD340" s="278"/>
    </row>
    <row r="341" spans="1:56" ht="33.75" customHeight="1">
      <c r="A341" s="869"/>
      <c r="B341" s="870"/>
      <c r="C341" s="891"/>
      <c r="D341" s="892"/>
      <c r="E341" s="873"/>
      <c r="F341" s="874"/>
      <c r="G341" s="507"/>
      <c r="H341" s="507"/>
      <c r="I341" s="511"/>
      <c r="J341" s="534"/>
      <c r="K341" s="518"/>
      <c r="L341" s="508"/>
      <c r="M341" s="507"/>
      <c r="N341" s="507"/>
      <c r="O341" s="507"/>
      <c r="P341" s="287"/>
      <c r="Q341" s="513"/>
      <c r="R341" s="508"/>
      <c r="S341" s="507"/>
      <c r="T341" s="507"/>
      <c r="U341" s="507"/>
      <c r="V341" s="287"/>
      <c r="W341" s="274"/>
      <c r="X341" s="508"/>
      <c r="Y341" s="507"/>
      <c r="Z341" s="507"/>
      <c r="AA341" s="507"/>
      <c r="AB341" s="286"/>
      <c r="AC341" s="274"/>
      <c r="AD341" s="509"/>
      <c r="AE341" s="129"/>
      <c r="AF341" s="129"/>
      <c r="AG341" s="907"/>
      <c r="AH341" s="286">
        <f>F340/E340*AH340</f>
        <v>4340</v>
      </c>
      <c r="AI341" s="507" t="s">
        <v>32</v>
      </c>
      <c r="AJ341" s="907"/>
      <c r="AK341" s="507"/>
      <c r="AL341" s="507"/>
      <c r="AM341" s="507"/>
      <c r="AN341" s="286"/>
      <c r="AO341" s="507"/>
      <c r="AP341" s="509"/>
      <c r="AQ341" s="634"/>
      <c r="AR341" s="606"/>
      <c r="AS341" s="394"/>
      <c r="AT341" s="393"/>
      <c r="AU341" s="395"/>
      <c r="AV341" s="278"/>
      <c r="AW341" s="278"/>
      <c r="AX341" s="278"/>
      <c r="AY341" s="278"/>
      <c r="AZ341" s="278"/>
      <c r="BA341" s="278"/>
      <c r="BB341" s="278"/>
      <c r="BC341" s="278"/>
      <c r="BD341" s="278"/>
    </row>
    <row r="342" spans="1:56" ht="33.75" customHeight="1">
      <c r="A342" s="869">
        <v>87</v>
      </c>
      <c r="B342" s="870" t="s">
        <v>749</v>
      </c>
      <c r="C342" s="891" t="s">
        <v>750</v>
      </c>
      <c r="D342" s="892" t="s">
        <v>751</v>
      </c>
      <c r="E342" s="873">
        <v>46.51</v>
      </c>
      <c r="F342" s="874">
        <v>320453.89999999997</v>
      </c>
      <c r="G342" s="507"/>
      <c r="H342" s="507"/>
      <c r="I342" s="511"/>
      <c r="J342" s="534"/>
      <c r="K342" s="518"/>
      <c r="L342" s="508"/>
      <c r="M342" s="518"/>
      <c r="N342" s="513"/>
      <c r="O342" s="513"/>
      <c r="P342" s="288"/>
      <c r="Q342" s="513"/>
      <c r="R342" s="605"/>
      <c r="S342" s="507"/>
      <c r="T342" s="507"/>
      <c r="U342" s="515"/>
      <c r="V342" s="287"/>
      <c r="W342" s="274"/>
      <c r="X342" s="336"/>
      <c r="Y342" s="513"/>
      <c r="Z342" s="513"/>
      <c r="AA342" s="129"/>
      <c r="AB342" s="286"/>
      <c r="AC342" s="518"/>
      <c r="AD342" s="592"/>
      <c r="AE342" s="507"/>
      <c r="AF342" s="507"/>
      <c r="AG342" s="907" t="s">
        <v>31</v>
      </c>
      <c r="AH342" s="286">
        <v>1</v>
      </c>
      <c r="AI342" s="518" t="s">
        <v>17</v>
      </c>
      <c r="AJ342" s="907">
        <v>60000</v>
      </c>
      <c r="AK342" s="507"/>
      <c r="AL342" s="507"/>
      <c r="AM342" s="507" t="s">
        <v>482</v>
      </c>
      <c r="AN342" s="286"/>
      <c r="AO342" s="507"/>
      <c r="AP342" s="509"/>
      <c r="AQ342" s="634"/>
      <c r="AR342" s="606"/>
      <c r="AS342" s="394"/>
      <c r="AT342" s="393"/>
      <c r="AU342" s="395"/>
      <c r="AV342" s="278"/>
      <c r="AW342" s="278"/>
      <c r="AX342" s="278"/>
      <c r="AY342" s="278"/>
      <c r="AZ342" s="278"/>
      <c r="BA342" s="278"/>
      <c r="BB342" s="278"/>
      <c r="BC342" s="278"/>
      <c r="BD342" s="278"/>
    </row>
    <row r="343" spans="1:56" ht="33.75" customHeight="1">
      <c r="A343" s="869"/>
      <c r="B343" s="870"/>
      <c r="C343" s="891"/>
      <c r="D343" s="892"/>
      <c r="E343" s="873"/>
      <c r="F343" s="874"/>
      <c r="G343" s="507"/>
      <c r="H343" s="507"/>
      <c r="I343" s="511"/>
      <c r="J343" s="534"/>
      <c r="K343" s="518"/>
      <c r="L343" s="508"/>
      <c r="M343" s="518"/>
      <c r="N343" s="513"/>
      <c r="O343" s="513"/>
      <c r="P343" s="288"/>
      <c r="Q343" s="513"/>
      <c r="R343" s="605"/>
      <c r="S343" s="507"/>
      <c r="T343" s="507"/>
      <c r="U343" s="515"/>
      <c r="V343" s="287"/>
      <c r="W343" s="274"/>
      <c r="X343" s="336"/>
      <c r="Y343" s="513"/>
      <c r="Z343" s="513"/>
      <c r="AA343" s="129"/>
      <c r="AB343" s="287"/>
      <c r="AC343" s="507"/>
      <c r="AD343" s="592"/>
      <c r="AE343" s="507"/>
      <c r="AF343" s="507"/>
      <c r="AG343" s="907"/>
      <c r="AH343" s="286">
        <f>F342/E342*AH342</f>
        <v>6889.9999999999991</v>
      </c>
      <c r="AI343" s="507" t="s">
        <v>32</v>
      </c>
      <c r="AJ343" s="907"/>
      <c r="AK343" s="507"/>
      <c r="AL343" s="507"/>
      <c r="AM343" s="507"/>
      <c r="AN343" s="286"/>
      <c r="AO343" s="507"/>
      <c r="AP343" s="509"/>
      <c r="AQ343" s="634"/>
      <c r="AR343" s="606"/>
      <c r="AS343" s="394"/>
      <c r="AT343" s="393"/>
      <c r="AU343" s="395"/>
      <c r="AV343" s="278"/>
      <c r="AW343" s="278"/>
      <c r="AX343" s="278"/>
      <c r="AY343" s="278"/>
      <c r="AZ343" s="278"/>
      <c r="BA343" s="278"/>
      <c r="BB343" s="278"/>
      <c r="BC343" s="278"/>
      <c r="BD343" s="278"/>
    </row>
    <row r="344" spans="1:56" ht="33.75" customHeight="1">
      <c r="A344" s="869">
        <v>88</v>
      </c>
      <c r="B344" s="870" t="s">
        <v>752</v>
      </c>
      <c r="C344" s="891" t="s">
        <v>753</v>
      </c>
      <c r="D344" s="892" t="s">
        <v>754</v>
      </c>
      <c r="E344" s="873">
        <v>2.79</v>
      </c>
      <c r="F344" s="874">
        <v>18348</v>
      </c>
      <c r="G344" s="507"/>
      <c r="H344" s="507"/>
      <c r="I344" s="511"/>
      <c r="J344" s="534"/>
      <c r="K344" s="518"/>
      <c r="L344" s="508"/>
      <c r="M344" s="507"/>
      <c r="N344" s="507"/>
      <c r="O344" s="507"/>
      <c r="P344" s="287"/>
      <c r="Q344" s="513"/>
      <c r="R344" s="508"/>
      <c r="S344" s="865"/>
      <c r="T344" s="865"/>
      <c r="U344" s="865"/>
      <c r="V344" s="286"/>
      <c r="W344" s="518"/>
      <c r="X344" s="866"/>
      <c r="Y344" s="513"/>
      <c r="Z344" s="513"/>
      <c r="AA344" s="513"/>
      <c r="AB344" s="288"/>
      <c r="AC344" s="513"/>
      <c r="AD344" s="626"/>
      <c r="AE344" s="507"/>
      <c r="AF344" s="507"/>
      <c r="AG344" s="507" t="s">
        <v>482</v>
      </c>
      <c r="AH344" s="286"/>
      <c r="AI344" s="507"/>
      <c r="AJ344" s="509"/>
      <c r="AK344" s="865"/>
      <c r="AL344" s="865"/>
      <c r="AM344" s="865" t="s">
        <v>31</v>
      </c>
      <c r="AN344" s="286">
        <v>2</v>
      </c>
      <c r="AO344" s="518" t="s">
        <v>17</v>
      </c>
      <c r="AP344" s="907">
        <v>120000</v>
      </c>
      <c r="AQ344" s="634"/>
      <c r="AR344" s="606"/>
      <c r="AS344" s="394"/>
      <c r="AT344" s="393"/>
      <c r="AU344" s="395"/>
      <c r="AV344" s="278"/>
      <c r="AW344" s="278"/>
      <c r="AX344" s="278"/>
      <c r="AY344" s="278"/>
      <c r="AZ344" s="278"/>
      <c r="BA344" s="278"/>
      <c r="BB344" s="278"/>
      <c r="BC344" s="278"/>
      <c r="BD344" s="278"/>
    </row>
    <row r="345" spans="1:56" ht="33.75" customHeight="1">
      <c r="A345" s="869"/>
      <c r="B345" s="870"/>
      <c r="C345" s="891"/>
      <c r="D345" s="892"/>
      <c r="E345" s="873"/>
      <c r="F345" s="874"/>
      <c r="G345" s="507"/>
      <c r="H345" s="507"/>
      <c r="I345" s="511"/>
      <c r="J345" s="534"/>
      <c r="K345" s="518"/>
      <c r="L345" s="508"/>
      <c r="M345" s="507"/>
      <c r="N345" s="507"/>
      <c r="O345" s="507" t="s">
        <v>482</v>
      </c>
      <c r="P345" s="287"/>
      <c r="Q345" s="513"/>
      <c r="R345" s="508"/>
      <c r="S345" s="865"/>
      <c r="T345" s="865"/>
      <c r="U345" s="865"/>
      <c r="V345" s="287"/>
      <c r="W345" s="507"/>
      <c r="X345" s="866"/>
      <c r="Y345" s="513"/>
      <c r="Z345" s="513"/>
      <c r="AA345" s="513"/>
      <c r="AB345" s="288"/>
      <c r="AC345" s="513"/>
      <c r="AD345" s="626"/>
      <c r="AE345" s="507"/>
      <c r="AF345" s="507"/>
      <c r="AG345" s="507"/>
      <c r="AH345" s="286"/>
      <c r="AI345" s="507"/>
      <c r="AJ345" s="509"/>
      <c r="AK345" s="865"/>
      <c r="AL345" s="865"/>
      <c r="AM345" s="865"/>
      <c r="AN345" s="287">
        <f>F344/E344*AN344</f>
        <v>13152.68817204301</v>
      </c>
      <c r="AO345" s="507" t="s">
        <v>32</v>
      </c>
      <c r="AP345" s="907"/>
      <c r="AQ345" s="634"/>
      <c r="AR345" s="606"/>
      <c r="AS345" s="394"/>
      <c r="AT345" s="393"/>
      <c r="AU345" s="395"/>
      <c r="AV345" s="278"/>
      <c r="AW345" s="278"/>
      <c r="AX345" s="278"/>
      <c r="AY345" s="278"/>
      <c r="AZ345" s="278"/>
      <c r="BA345" s="278"/>
      <c r="BB345" s="278"/>
      <c r="BC345" s="278"/>
      <c r="BD345" s="278"/>
    </row>
    <row r="346" spans="1:56" ht="33.75" customHeight="1">
      <c r="A346" s="869">
        <v>89</v>
      </c>
      <c r="B346" s="870" t="s">
        <v>755</v>
      </c>
      <c r="C346" s="891" t="s">
        <v>756</v>
      </c>
      <c r="D346" s="892" t="s">
        <v>757</v>
      </c>
      <c r="E346" s="873">
        <v>12.58</v>
      </c>
      <c r="F346" s="874">
        <v>88060</v>
      </c>
      <c r="G346" s="507"/>
      <c r="H346" s="507"/>
      <c r="I346" s="511"/>
      <c r="J346" s="534"/>
      <c r="K346" s="518"/>
      <c r="L346" s="508"/>
      <c r="M346" s="507"/>
      <c r="N346" s="507"/>
      <c r="O346" s="507"/>
      <c r="P346" s="287"/>
      <c r="Q346" s="513"/>
      <c r="R346" s="508"/>
      <c r="S346" s="865"/>
      <c r="T346" s="865"/>
      <c r="U346" s="865"/>
      <c r="V346" s="286"/>
      <c r="W346" s="518"/>
      <c r="X346" s="866"/>
      <c r="Y346" s="14"/>
      <c r="Z346" s="14"/>
      <c r="AA346" s="14"/>
      <c r="AB346" s="289"/>
      <c r="AC346" s="14"/>
      <c r="AD346" s="622"/>
      <c r="AE346" s="507"/>
      <c r="AF346" s="507"/>
      <c r="AG346" s="865" t="s">
        <v>31</v>
      </c>
      <c r="AH346" s="286">
        <v>1</v>
      </c>
      <c r="AI346" s="518" t="s">
        <v>17</v>
      </c>
      <c r="AJ346" s="907">
        <v>60000</v>
      </c>
      <c r="AK346" s="507"/>
      <c r="AL346" s="507"/>
      <c r="AM346" s="507"/>
      <c r="AN346" s="286"/>
      <c r="AO346" s="507"/>
      <c r="AP346" s="509"/>
      <c r="AQ346" s="634"/>
      <c r="AR346" s="606"/>
      <c r="AS346" s="394"/>
      <c r="AT346" s="393"/>
      <c r="AU346" s="395"/>
      <c r="AV346" s="278"/>
      <c r="AW346" s="278"/>
      <c r="AX346" s="278"/>
      <c r="AY346" s="278"/>
      <c r="AZ346" s="278"/>
      <c r="BA346" s="278"/>
      <c r="BB346" s="278"/>
      <c r="BC346" s="278"/>
      <c r="BD346" s="278"/>
    </row>
    <row r="347" spans="1:56" ht="33.75" customHeight="1">
      <c r="A347" s="869"/>
      <c r="B347" s="870"/>
      <c r="C347" s="891"/>
      <c r="D347" s="892"/>
      <c r="E347" s="873"/>
      <c r="F347" s="874"/>
      <c r="G347" s="507"/>
      <c r="H347" s="507"/>
      <c r="I347" s="511"/>
      <c r="J347" s="534"/>
      <c r="K347" s="518"/>
      <c r="L347" s="508"/>
      <c r="M347" s="518"/>
      <c r="N347" s="513"/>
      <c r="O347" s="513"/>
      <c r="P347" s="288"/>
      <c r="Q347" s="513"/>
      <c r="R347" s="605"/>
      <c r="S347" s="865"/>
      <c r="T347" s="865"/>
      <c r="U347" s="865"/>
      <c r="V347" s="287"/>
      <c r="W347" s="507"/>
      <c r="X347" s="866"/>
      <c r="Y347" s="14"/>
      <c r="Z347" s="14"/>
      <c r="AA347" s="14"/>
      <c r="AB347" s="289"/>
      <c r="AC347" s="14"/>
      <c r="AD347" s="622"/>
      <c r="AE347" s="507"/>
      <c r="AF347" s="507"/>
      <c r="AG347" s="865"/>
      <c r="AH347" s="286">
        <f>F346/E346*AH346</f>
        <v>7000</v>
      </c>
      <c r="AI347" s="507" t="s">
        <v>32</v>
      </c>
      <c r="AJ347" s="907"/>
      <c r="AK347" s="507"/>
      <c r="AL347" s="507"/>
      <c r="AM347" s="507"/>
      <c r="AN347" s="286"/>
      <c r="AO347" s="507"/>
      <c r="AP347" s="509"/>
      <c r="AQ347" s="634"/>
      <c r="AR347" s="606"/>
      <c r="AS347" s="394"/>
      <c r="AT347" s="393"/>
      <c r="AU347" s="395"/>
      <c r="AV347" s="278"/>
      <c r="AW347" s="278"/>
      <c r="AX347" s="278"/>
      <c r="AY347" s="278"/>
      <c r="AZ347" s="278"/>
      <c r="BA347" s="278"/>
      <c r="BB347" s="278"/>
      <c r="BC347" s="278"/>
      <c r="BD347" s="278"/>
    </row>
    <row r="348" spans="1:56" ht="73.5" customHeight="1">
      <c r="A348" s="869">
        <v>90</v>
      </c>
      <c r="B348" s="870" t="s">
        <v>758</v>
      </c>
      <c r="C348" s="891" t="s">
        <v>759</v>
      </c>
      <c r="D348" s="892" t="s">
        <v>760</v>
      </c>
      <c r="E348" s="873">
        <v>14.06</v>
      </c>
      <c r="F348" s="874">
        <v>84360</v>
      </c>
      <c r="G348" s="507"/>
      <c r="H348" s="507"/>
      <c r="I348" s="511"/>
      <c r="J348" s="534"/>
      <c r="K348" s="518"/>
      <c r="L348" s="508"/>
      <c r="M348" s="507"/>
      <c r="N348" s="507"/>
      <c r="O348" s="507"/>
      <c r="P348" s="287"/>
      <c r="Q348" s="513"/>
      <c r="R348" s="508"/>
      <c r="S348" s="129"/>
      <c r="T348" s="129"/>
      <c r="U348" s="129"/>
      <c r="V348" s="286"/>
      <c r="W348" s="518"/>
      <c r="X348" s="604"/>
      <c r="Y348" s="129"/>
      <c r="Z348" s="129"/>
      <c r="AA348" s="129"/>
      <c r="AB348" s="286"/>
      <c r="AC348" s="507"/>
      <c r="AD348" s="592"/>
      <c r="AE348" s="507"/>
      <c r="AF348" s="507"/>
      <c r="AG348" s="907" t="s">
        <v>31</v>
      </c>
      <c r="AH348" s="286">
        <v>2.2000000000000002</v>
      </c>
      <c r="AI348" s="507" t="s">
        <v>17</v>
      </c>
      <c r="AJ348" s="907">
        <v>132000</v>
      </c>
      <c r="AK348" s="507"/>
      <c r="AL348" s="507"/>
      <c r="AM348" s="507" t="s">
        <v>482</v>
      </c>
      <c r="AN348" s="286"/>
      <c r="AO348" s="507"/>
      <c r="AP348" s="509"/>
      <c r="AQ348" s="634"/>
      <c r="AR348" s="606"/>
      <c r="AS348" s="394"/>
      <c r="AT348" s="393"/>
      <c r="AU348" s="395"/>
      <c r="AV348" s="278"/>
      <c r="AW348" s="278"/>
      <c r="AX348" s="278"/>
      <c r="AY348" s="278"/>
      <c r="AZ348" s="278"/>
      <c r="BA348" s="278"/>
      <c r="BB348" s="278"/>
      <c r="BC348" s="278"/>
      <c r="BD348" s="278"/>
    </row>
    <row r="349" spans="1:56" ht="73.5" customHeight="1">
      <c r="A349" s="869"/>
      <c r="B349" s="870"/>
      <c r="C349" s="915"/>
      <c r="D349" s="892"/>
      <c r="E349" s="873"/>
      <c r="F349" s="874"/>
      <c r="G349" s="507"/>
      <c r="H349" s="507"/>
      <c r="I349" s="511"/>
      <c r="J349" s="534"/>
      <c r="K349" s="518"/>
      <c r="L349" s="508"/>
      <c r="M349" s="507"/>
      <c r="N349" s="507"/>
      <c r="O349" s="507" t="s">
        <v>482</v>
      </c>
      <c r="P349" s="287"/>
      <c r="Q349" s="513"/>
      <c r="R349" s="508"/>
      <c r="S349" s="129"/>
      <c r="T349" s="129"/>
      <c r="U349" s="129"/>
      <c r="V349" s="287"/>
      <c r="W349" s="507"/>
      <c r="X349" s="604"/>
      <c r="Y349" s="129"/>
      <c r="Z349" s="129"/>
      <c r="AA349" s="129"/>
      <c r="AB349" s="286"/>
      <c r="AC349" s="507"/>
      <c r="AD349" s="592"/>
      <c r="AE349" s="507"/>
      <c r="AF349" s="507"/>
      <c r="AG349" s="907"/>
      <c r="AH349" s="286">
        <f>F348/E348*AH348</f>
        <v>13200.000000000002</v>
      </c>
      <c r="AI349" s="507" t="s">
        <v>32</v>
      </c>
      <c r="AJ349" s="907"/>
      <c r="AK349" s="507"/>
      <c r="AL349" s="507"/>
      <c r="AM349" s="507"/>
      <c r="AN349" s="286"/>
      <c r="AO349" s="507"/>
      <c r="AP349" s="509"/>
      <c r="AQ349" s="634"/>
      <c r="AR349" s="606"/>
      <c r="AS349" s="394"/>
      <c r="AT349" s="393"/>
      <c r="AU349" s="395"/>
      <c r="AV349" s="278"/>
      <c r="AW349" s="278"/>
      <c r="AX349" s="278"/>
      <c r="AY349" s="278"/>
      <c r="AZ349" s="278"/>
      <c r="BA349" s="278"/>
      <c r="BB349" s="278"/>
      <c r="BC349" s="278"/>
      <c r="BD349" s="278"/>
    </row>
    <row r="350" spans="1:56" ht="33.75" customHeight="1">
      <c r="A350" s="869">
        <v>91</v>
      </c>
      <c r="B350" s="870" t="s">
        <v>761</v>
      </c>
      <c r="C350" s="891" t="s">
        <v>762</v>
      </c>
      <c r="D350" s="892" t="s">
        <v>763</v>
      </c>
      <c r="E350" s="873">
        <v>3.9</v>
      </c>
      <c r="F350" s="874">
        <v>23400</v>
      </c>
      <c r="G350" s="507"/>
      <c r="H350" s="507"/>
      <c r="I350" s="511"/>
      <c r="J350" s="534"/>
      <c r="K350" s="518"/>
      <c r="L350" s="508"/>
      <c r="M350" s="507"/>
      <c r="N350" s="507"/>
      <c r="O350" s="507"/>
      <c r="P350" s="287"/>
      <c r="Q350" s="513"/>
      <c r="R350" s="508"/>
      <c r="S350" s="865"/>
      <c r="T350" s="865"/>
      <c r="U350" s="865"/>
      <c r="V350" s="286"/>
      <c r="W350" s="518"/>
      <c r="X350" s="866"/>
      <c r="Y350" s="507"/>
      <c r="Z350" s="507"/>
      <c r="AA350" s="129"/>
      <c r="AB350" s="286"/>
      <c r="AC350" s="518"/>
      <c r="AD350" s="592"/>
      <c r="AE350" s="129"/>
      <c r="AF350" s="129"/>
      <c r="AG350" s="907" t="s">
        <v>31</v>
      </c>
      <c r="AH350" s="286">
        <v>1</v>
      </c>
      <c r="AI350" s="507" t="s">
        <v>17</v>
      </c>
      <c r="AJ350" s="907">
        <v>60000</v>
      </c>
      <c r="AK350" s="507"/>
      <c r="AL350" s="507"/>
      <c r="AM350" s="507"/>
      <c r="AN350" s="286"/>
      <c r="AO350" s="507"/>
      <c r="AP350" s="509"/>
      <c r="AQ350" s="634"/>
      <c r="AR350" s="606"/>
      <c r="AS350" s="394"/>
      <c r="AT350" s="393"/>
      <c r="AU350" s="395"/>
      <c r="AV350" s="278"/>
      <c r="AW350" s="278"/>
      <c r="AX350" s="278"/>
      <c r="AY350" s="278"/>
      <c r="AZ350" s="278"/>
      <c r="BA350" s="278"/>
      <c r="BB350" s="278"/>
      <c r="BC350" s="278"/>
      <c r="BD350" s="278"/>
    </row>
    <row r="351" spans="1:56" ht="33.75" customHeight="1">
      <c r="A351" s="869"/>
      <c r="B351" s="870"/>
      <c r="C351" s="891"/>
      <c r="D351" s="892"/>
      <c r="E351" s="873"/>
      <c r="F351" s="874"/>
      <c r="G351" s="507"/>
      <c r="H351" s="507"/>
      <c r="I351" s="511"/>
      <c r="J351" s="534"/>
      <c r="K351" s="518"/>
      <c r="L351" s="508"/>
      <c r="M351" s="518"/>
      <c r="N351" s="513"/>
      <c r="O351" s="513"/>
      <c r="P351" s="288"/>
      <c r="Q351" s="513"/>
      <c r="R351" s="605"/>
      <c r="S351" s="865"/>
      <c r="T351" s="865"/>
      <c r="U351" s="865"/>
      <c r="V351" s="287"/>
      <c r="W351" s="507"/>
      <c r="X351" s="866"/>
      <c r="Y351" s="507"/>
      <c r="Z351" s="507"/>
      <c r="AA351" s="129"/>
      <c r="AB351" s="286"/>
      <c r="AC351" s="507"/>
      <c r="AD351" s="592"/>
      <c r="AE351" s="129"/>
      <c r="AF351" s="129"/>
      <c r="AG351" s="907"/>
      <c r="AH351" s="286">
        <f>F350/E350*AH350</f>
        <v>6000</v>
      </c>
      <c r="AI351" s="507" t="s">
        <v>32</v>
      </c>
      <c r="AJ351" s="907"/>
      <c r="AK351" s="507"/>
      <c r="AL351" s="507"/>
      <c r="AM351" s="507"/>
      <c r="AN351" s="286"/>
      <c r="AO351" s="507"/>
      <c r="AP351" s="509"/>
      <c r="AQ351" s="634"/>
      <c r="AR351" s="606"/>
      <c r="AS351" s="394"/>
      <c r="AT351" s="393"/>
      <c r="AU351" s="395"/>
      <c r="AV351" s="278"/>
      <c r="AW351" s="278"/>
      <c r="AX351" s="278"/>
      <c r="AY351" s="278"/>
      <c r="AZ351" s="278"/>
      <c r="BA351" s="278"/>
      <c r="BB351" s="278"/>
      <c r="BC351" s="278"/>
      <c r="BD351" s="278"/>
    </row>
    <row r="352" spans="1:56" ht="54" customHeight="1">
      <c r="A352" s="869">
        <v>92</v>
      </c>
      <c r="B352" s="870" t="s">
        <v>764</v>
      </c>
      <c r="C352" s="891" t="s">
        <v>765</v>
      </c>
      <c r="D352" s="892" t="s">
        <v>766</v>
      </c>
      <c r="E352" s="873">
        <v>67.31</v>
      </c>
      <c r="F352" s="874">
        <v>403860</v>
      </c>
      <c r="G352" s="507"/>
      <c r="H352" s="507"/>
      <c r="I352" s="511"/>
      <c r="J352" s="534"/>
      <c r="K352" s="274"/>
      <c r="L352" s="508"/>
      <c r="M352" s="507"/>
      <c r="N352" s="507"/>
      <c r="O352" s="515"/>
      <c r="P352" s="517"/>
      <c r="Q352" s="274"/>
      <c r="R352" s="336"/>
      <c r="S352" s="507"/>
      <c r="T352" s="507"/>
      <c r="U352" s="507"/>
      <c r="V352" s="286"/>
      <c r="W352" s="274"/>
      <c r="X352" s="508"/>
      <c r="Y352" s="507"/>
      <c r="Z352" s="507"/>
      <c r="AA352" s="507"/>
      <c r="AB352" s="286"/>
      <c r="AC352" s="274"/>
      <c r="AD352" s="509"/>
      <c r="AE352" s="141"/>
      <c r="AF352" s="141"/>
      <c r="AG352" s="865"/>
      <c r="AH352" s="286"/>
      <c r="AI352" s="518"/>
      <c r="AJ352" s="907"/>
      <c r="AK352" s="507"/>
      <c r="AL352" s="507"/>
      <c r="AM352" s="907" t="s">
        <v>31</v>
      </c>
      <c r="AN352" s="286">
        <v>3</v>
      </c>
      <c r="AO352" s="518" t="s">
        <v>17</v>
      </c>
      <c r="AP352" s="907">
        <v>180000</v>
      </c>
      <c r="AQ352" s="634"/>
      <c r="AR352" s="606"/>
      <c r="AS352" s="394"/>
      <c r="AT352" s="393"/>
      <c r="AU352" s="395"/>
      <c r="AV352" s="278"/>
      <c r="AW352" s="278"/>
      <c r="AX352" s="278"/>
      <c r="AY352" s="278"/>
      <c r="AZ352" s="278"/>
      <c r="BA352" s="278"/>
      <c r="BB352" s="278"/>
      <c r="BC352" s="278"/>
      <c r="BD352" s="278"/>
    </row>
    <row r="353" spans="1:56" ht="54" customHeight="1">
      <c r="A353" s="869"/>
      <c r="B353" s="870"/>
      <c r="C353" s="891"/>
      <c r="D353" s="892"/>
      <c r="E353" s="873"/>
      <c r="F353" s="874"/>
      <c r="G353" s="507"/>
      <c r="H353" s="507"/>
      <c r="I353" s="511"/>
      <c r="J353" s="534"/>
      <c r="K353" s="518"/>
      <c r="L353" s="508"/>
      <c r="M353" s="507"/>
      <c r="N353" s="507"/>
      <c r="O353" s="515"/>
      <c r="P353" s="517"/>
      <c r="Q353" s="275"/>
      <c r="R353" s="336"/>
      <c r="S353" s="507"/>
      <c r="T353" s="507"/>
      <c r="U353" s="515"/>
      <c r="V353" s="521"/>
      <c r="W353" s="275"/>
      <c r="X353" s="336"/>
      <c r="Y353" s="515"/>
      <c r="Z353" s="515"/>
      <c r="AA353" s="515"/>
      <c r="AB353" s="517"/>
      <c r="AC353" s="275"/>
      <c r="AD353" s="623"/>
      <c r="AE353" s="141"/>
      <c r="AF353" s="141"/>
      <c r="AG353" s="865"/>
      <c r="AH353" s="517"/>
      <c r="AI353" s="507"/>
      <c r="AJ353" s="907"/>
      <c r="AK353" s="515"/>
      <c r="AL353" s="515"/>
      <c r="AM353" s="907"/>
      <c r="AN353" s="286">
        <f>F352/E352*AN352</f>
        <v>18000</v>
      </c>
      <c r="AO353" s="507" t="s">
        <v>32</v>
      </c>
      <c r="AP353" s="907"/>
      <c r="AQ353" s="634"/>
      <c r="AR353" s="606"/>
      <c r="AS353" s="394"/>
      <c r="AT353" s="393"/>
      <c r="AU353" s="395"/>
      <c r="AV353" s="278"/>
      <c r="AW353" s="278"/>
      <c r="AX353" s="278"/>
      <c r="AY353" s="278"/>
      <c r="AZ353" s="278"/>
      <c r="BA353" s="278"/>
      <c r="BB353" s="278"/>
      <c r="BC353" s="278"/>
      <c r="BD353" s="278"/>
    </row>
    <row r="354" spans="1:56" ht="64.5" customHeight="1">
      <c r="A354" s="869">
        <v>93</v>
      </c>
      <c r="B354" s="870" t="s">
        <v>767</v>
      </c>
      <c r="C354" s="891" t="s">
        <v>768</v>
      </c>
      <c r="D354" s="892" t="s">
        <v>769</v>
      </c>
      <c r="E354" s="873">
        <v>5.9050000000000002</v>
      </c>
      <c r="F354" s="874">
        <v>35430</v>
      </c>
      <c r="G354" s="507"/>
      <c r="H354" s="507"/>
      <c r="I354" s="511"/>
      <c r="J354" s="534"/>
      <c r="K354" s="274"/>
      <c r="L354" s="508"/>
      <c r="M354" s="507"/>
      <c r="N354" s="507"/>
      <c r="O354" s="507" t="s">
        <v>482</v>
      </c>
      <c r="P354" s="286"/>
      <c r="Q354" s="274"/>
      <c r="R354" s="508"/>
      <c r="S354" s="507"/>
      <c r="T354" s="507"/>
      <c r="U354" s="507" t="s">
        <v>482</v>
      </c>
      <c r="V354" s="286"/>
      <c r="W354" s="274"/>
      <c r="X354" s="508"/>
      <c r="Y354" s="507"/>
      <c r="Z354" s="507"/>
      <c r="AA354" s="507" t="s">
        <v>482</v>
      </c>
      <c r="AB354" s="286"/>
      <c r="AC354" s="274"/>
      <c r="AD354" s="509"/>
      <c r="AE354" s="507"/>
      <c r="AF354" s="507"/>
      <c r="AG354" s="507" t="s">
        <v>482</v>
      </c>
      <c r="AH354" s="286"/>
      <c r="AI354" s="507"/>
      <c r="AJ354" s="509"/>
      <c r="AK354" s="141"/>
      <c r="AL354" s="141"/>
      <c r="AM354" s="907" t="s">
        <v>31</v>
      </c>
      <c r="AN354" s="286">
        <v>1.8</v>
      </c>
      <c r="AO354" s="518" t="s">
        <v>17</v>
      </c>
      <c r="AP354" s="907">
        <v>108000</v>
      </c>
      <c r="AQ354" s="634"/>
      <c r="AR354" s="606"/>
      <c r="AS354" s="394"/>
      <c r="AT354" s="393"/>
      <c r="AU354" s="395"/>
      <c r="AV354" s="278"/>
      <c r="AW354" s="278"/>
      <c r="AX354" s="278"/>
      <c r="AY354" s="278"/>
      <c r="AZ354" s="278"/>
      <c r="BA354" s="278"/>
      <c r="BB354" s="278"/>
      <c r="BC354" s="278"/>
      <c r="BD354" s="278"/>
    </row>
    <row r="355" spans="1:56" ht="64.5" customHeight="1">
      <c r="A355" s="869"/>
      <c r="B355" s="870"/>
      <c r="C355" s="891"/>
      <c r="D355" s="892"/>
      <c r="E355" s="873"/>
      <c r="F355" s="874"/>
      <c r="G355" s="507"/>
      <c r="H355" s="507"/>
      <c r="I355" s="511"/>
      <c r="J355" s="534"/>
      <c r="K355" s="518"/>
      <c r="L355" s="508"/>
      <c r="M355" s="507"/>
      <c r="N355" s="507"/>
      <c r="O355" s="515"/>
      <c r="P355" s="517"/>
      <c r="Q355" s="275"/>
      <c r="R355" s="336"/>
      <c r="S355" s="507"/>
      <c r="T355" s="507"/>
      <c r="U355" s="515"/>
      <c r="V355" s="521"/>
      <c r="W355" s="275"/>
      <c r="X355" s="336"/>
      <c r="Y355" s="515"/>
      <c r="Z355" s="515"/>
      <c r="AA355" s="515"/>
      <c r="AB355" s="517"/>
      <c r="AC355" s="275"/>
      <c r="AD355" s="623"/>
      <c r="AE355" s="511"/>
      <c r="AF355" s="511"/>
      <c r="AG355" s="507"/>
      <c r="AH355" s="517"/>
      <c r="AI355" s="507"/>
      <c r="AJ355" s="509"/>
      <c r="AK355" s="141"/>
      <c r="AL355" s="141"/>
      <c r="AM355" s="907"/>
      <c r="AN355" s="286">
        <f>F354/E354*AN354</f>
        <v>10800</v>
      </c>
      <c r="AO355" s="507" t="s">
        <v>32</v>
      </c>
      <c r="AP355" s="907"/>
      <c r="AQ355" s="634"/>
      <c r="AR355" s="606"/>
      <c r="AS355" s="394"/>
      <c r="AT355" s="393"/>
      <c r="AU355" s="395"/>
      <c r="AV355" s="278"/>
      <c r="AW355" s="278"/>
      <c r="AX355" s="278"/>
      <c r="AY355" s="278"/>
      <c r="AZ355" s="278"/>
      <c r="BA355" s="278"/>
      <c r="BB355" s="278"/>
      <c r="BC355" s="278"/>
      <c r="BD355" s="278"/>
    </row>
    <row r="356" spans="1:56">
      <c r="A356" s="869">
        <v>94</v>
      </c>
      <c r="B356" s="870" t="s">
        <v>770</v>
      </c>
      <c r="C356" s="891" t="s">
        <v>771</v>
      </c>
      <c r="D356" s="892" t="s">
        <v>772</v>
      </c>
      <c r="E356" s="873">
        <v>29.706</v>
      </c>
      <c r="F356" s="874">
        <v>179424.24</v>
      </c>
      <c r="G356" s="507"/>
      <c r="H356" s="507"/>
      <c r="I356" s="511"/>
      <c r="J356" s="534"/>
      <c r="K356" s="274"/>
      <c r="L356" s="508"/>
      <c r="M356" s="507"/>
      <c r="N356" s="507"/>
      <c r="O356" s="515"/>
      <c r="P356" s="517"/>
      <c r="Q356" s="274"/>
      <c r="R356" s="336"/>
      <c r="S356" s="507"/>
      <c r="T356" s="507"/>
      <c r="U356" s="515"/>
      <c r="V356" s="517"/>
      <c r="W356" s="274"/>
      <c r="X356" s="336"/>
      <c r="Y356" s="507"/>
      <c r="Z356" s="507"/>
      <c r="AA356" s="507"/>
      <c r="AB356" s="286"/>
      <c r="AC356" s="274"/>
      <c r="AD356" s="509"/>
      <c r="AE356" s="507"/>
      <c r="AF356" s="507"/>
      <c r="AG356" s="507"/>
      <c r="AH356" s="286"/>
      <c r="AI356" s="507"/>
      <c r="AJ356" s="509"/>
      <c r="AK356" s="507"/>
      <c r="AL356" s="507"/>
      <c r="AM356" s="907" t="s">
        <v>31</v>
      </c>
      <c r="AN356" s="286">
        <v>0.75</v>
      </c>
      <c r="AO356" s="518" t="s">
        <v>17</v>
      </c>
      <c r="AP356" s="907">
        <v>45000</v>
      </c>
      <c r="AQ356" s="634"/>
      <c r="AR356" s="606"/>
      <c r="AS356" s="394"/>
      <c r="AT356" s="393"/>
      <c r="AU356" s="395"/>
      <c r="AV356" s="278"/>
      <c r="AW356" s="278"/>
      <c r="AX356" s="278"/>
      <c r="AY356" s="278"/>
      <c r="AZ356" s="278"/>
      <c r="BA356" s="278"/>
      <c r="BB356" s="278"/>
      <c r="BC356" s="278"/>
      <c r="BD356" s="278"/>
    </row>
    <row r="357" spans="1:56">
      <c r="A357" s="869"/>
      <c r="B357" s="870"/>
      <c r="C357" s="891"/>
      <c r="D357" s="892"/>
      <c r="E357" s="873"/>
      <c r="F357" s="874"/>
      <c r="G357" s="507"/>
      <c r="H357" s="507"/>
      <c r="I357" s="511"/>
      <c r="J357" s="534"/>
      <c r="K357" s="274"/>
      <c r="L357" s="508"/>
      <c r="M357" s="507"/>
      <c r="N357" s="507"/>
      <c r="O357" s="515"/>
      <c r="P357" s="517"/>
      <c r="Q357" s="274"/>
      <c r="R357" s="336"/>
      <c r="S357" s="507"/>
      <c r="T357" s="507"/>
      <c r="U357" s="515"/>
      <c r="V357" s="517"/>
      <c r="W357" s="274"/>
      <c r="X357" s="336"/>
      <c r="Y357" s="507"/>
      <c r="Z357" s="507"/>
      <c r="AA357" s="507"/>
      <c r="AB357" s="286"/>
      <c r="AC357" s="274"/>
      <c r="AD357" s="509"/>
      <c r="AE357" s="507"/>
      <c r="AF357" s="507"/>
      <c r="AG357" s="507"/>
      <c r="AH357" s="286"/>
      <c r="AI357" s="507"/>
      <c r="AJ357" s="509"/>
      <c r="AK357" s="507"/>
      <c r="AL357" s="507"/>
      <c r="AM357" s="907"/>
      <c r="AN357" s="286">
        <f>F356/E356*AN356</f>
        <v>4530</v>
      </c>
      <c r="AO357" s="507" t="s">
        <v>32</v>
      </c>
      <c r="AP357" s="907"/>
      <c r="AQ357" s="634"/>
      <c r="AR357" s="606"/>
      <c r="AS357" s="394"/>
      <c r="AT357" s="393"/>
      <c r="AU357" s="395"/>
      <c r="AV357" s="278"/>
      <c r="AW357" s="278"/>
      <c r="AX357" s="278"/>
      <c r="AY357" s="278"/>
      <c r="AZ357" s="278"/>
      <c r="BA357" s="278"/>
      <c r="BB357" s="278"/>
      <c r="BC357" s="278"/>
      <c r="BD357" s="278"/>
    </row>
    <row r="358" spans="1:56">
      <c r="A358" s="869">
        <v>95</v>
      </c>
      <c r="B358" s="870" t="s">
        <v>773</v>
      </c>
      <c r="C358" s="891" t="s">
        <v>774</v>
      </c>
      <c r="D358" s="989" t="s">
        <v>775</v>
      </c>
      <c r="E358" s="991">
        <v>35.399000000000001</v>
      </c>
      <c r="F358" s="874">
        <v>233633.4</v>
      </c>
      <c r="G358" s="865"/>
      <c r="H358" s="865"/>
      <c r="I358" s="893"/>
      <c r="J358" s="895"/>
      <c r="K358" s="901"/>
      <c r="L358" s="866"/>
      <c r="M358" s="865" t="s">
        <v>60</v>
      </c>
      <c r="N358" s="865" t="s">
        <v>496</v>
      </c>
      <c r="O358" s="893" t="s">
        <v>114</v>
      </c>
      <c r="P358" s="286">
        <v>5</v>
      </c>
      <c r="Q358" s="518" t="s">
        <v>17</v>
      </c>
      <c r="R358" s="866">
        <v>82900</v>
      </c>
      <c r="S358" s="865" t="s">
        <v>496</v>
      </c>
      <c r="T358" s="865" t="s">
        <v>489</v>
      </c>
      <c r="U358" s="893" t="s">
        <v>114</v>
      </c>
      <c r="V358" s="286">
        <v>5</v>
      </c>
      <c r="W358" s="518" t="s">
        <v>17</v>
      </c>
      <c r="X358" s="866">
        <v>70000</v>
      </c>
      <c r="Y358" s="865" t="s">
        <v>489</v>
      </c>
      <c r="Z358" s="865" t="s">
        <v>842</v>
      </c>
      <c r="AA358" s="865" t="s">
        <v>31</v>
      </c>
      <c r="AB358" s="286">
        <v>6</v>
      </c>
      <c r="AC358" s="518" t="s">
        <v>17</v>
      </c>
      <c r="AD358" s="907">
        <v>248200</v>
      </c>
      <c r="AE358" s="507"/>
      <c r="AF358" s="507"/>
      <c r="AG358" s="507"/>
      <c r="AH358" s="286"/>
      <c r="AI358" s="507"/>
      <c r="AJ358" s="509"/>
      <c r="AK358" s="507"/>
      <c r="AL358" s="507"/>
      <c r="AM358" s="507"/>
      <c r="AN358" s="286"/>
      <c r="AO358" s="507"/>
      <c r="AP358" s="509"/>
      <c r="AQ358" s="634"/>
      <c r="AR358" s="606"/>
      <c r="AS358" s="394"/>
      <c r="AT358" s="393"/>
      <c r="AU358" s="395"/>
      <c r="AV358" s="278"/>
      <c r="AW358" s="278"/>
      <c r="AX358" s="278"/>
      <c r="AY358" s="278"/>
      <c r="AZ358" s="278"/>
      <c r="BA358" s="278"/>
      <c r="BB358" s="278"/>
      <c r="BC358" s="278"/>
      <c r="BD358" s="278"/>
    </row>
    <row r="359" spans="1:56">
      <c r="A359" s="869"/>
      <c r="B359" s="870"/>
      <c r="C359" s="891"/>
      <c r="D359" s="989"/>
      <c r="E359" s="991"/>
      <c r="F359" s="874"/>
      <c r="G359" s="865"/>
      <c r="H359" s="865"/>
      <c r="I359" s="893"/>
      <c r="J359" s="895"/>
      <c r="K359" s="901"/>
      <c r="L359" s="866"/>
      <c r="M359" s="865"/>
      <c r="N359" s="865"/>
      <c r="O359" s="916"/>
      <c r="P359" s="287">
        <f>F358/E358*P358</f>
        <v>33000</v>
      </c>
      <c r="Q359" s="507" t="s">
        <v>32</v>
      </c>
      <c r="R359" s="866"/>
      <c r="S359" s="865"/>
      <c r="T359" s="865"/>
      <c r="U359" s="916"/>
      <c r="V359" s="287">
        <f>F358/E358*V358</f>
        <v>33000</v>
      </c>
      <c r="W359" s="507" t="s">
        <v>32</v>
      </c>
      <c r="X359" s="866"/>
      <c r="Y359" s="865"/>
      <c r="Z359" s="865"/>
      <c r="AA359" s="865"/>
      <c r="AB359" s="287">
        <f>F358/E358*AB358</f>
        <v>39600</v>
      </c>
      <c r="AC359" s="507" t="s">
        <v>32</v>
      </c>
      <c r="AD359" s="907"/>
      <c r="AE359" s="507"/>
      <c r="AF359" s="507"/>
      <c r="AG359" s="507"/>
      <c r="AH359" s="286"/>
      <c r="AI359" s="507"/>
      <c r="AJ359" s="509"/>
      <c r="AK359" s="507"/>
      <c r="AL359" s="507"/>
      <c r="AM359" s="507"/>
      <c r="AN359" s="286"/>
      <c r="AO359" s="507"/>
      <c r="AP359" s="509"/>
      <c r="AQ359" s="634"/>
      <c r="AR359" s="606"/>
      <c r="AS359" s="394"/>
      <c r="AT359" s="393"/>
      <c r="AU359" s="395"/>
      <c r="AV359" s="278"/>
      <c r="AW359" s="278"/>
      <c r="AX359" s="278"/>
      <c r="AY359" s="278"/>
      <c r="AZ359" s="278"/>
      <c r="BA359" s="278"/>
      <c r="BB359" s="278"/>
      <c r="BC359" s="278"/>
      <c r="BD359" s="278"/>
    </row>
    <row r="360" spans="1:56">
      <c r="A360" s="869"/>
      <c r="B360" s="870"/>
      <c r="C360" s="988"/>
      <c r="D360" s="990"/>
      <c r="E360" s="990"/>
      <c r="F360" s="990"/>
      <c r="G360" s="865"/>
      <c r="H360" s="865"/>
      <c r="I360" s="893"/>
      <c r="J360" s="895"/>
      <c r="K360" s="901"/>
      <c r="L360" s="866"/>
      <c r="M360" s="865"/>
      <c r="N360" s="865"/>
      <c r="O360" s="893"/>
      <c r="P360" s="992"/>
      <c r="Q360" s="901"/>
      <c r="R360" s="866"/>
      <c r="S360" s="865"/>
      <c r="T360" s="865"/>
      <c r="U360" s="893"/>
      <c r="V360" s="992"/>
      <c r="W360" s="901"/>
      <c r="X360" s="866"/>
      <c r="Y360" s="865"/>
      <c r="Z360" s="865"/>
      <c r="AA360" s="893"/>
      <c r="AB360" s="992"/>
      <c r="AC360" s="901"/>
      <c r="AD360" s="907"/>
      <c r="AE360" s="507"/>
      <c r="AF360" s="507"/>
      <c r="AG360" s="507"/>
      <c r="AH360" s="286"/>
      <c r="AI360" s="507"/>
      <c r="AJ360" s="509"/>
      <c r="AK360" s="507"/>
      <c r="AL360" s="507"/>
      <c r="AM360" s="507"/>
      <c r="AN360" s="286"/>
      <c r="AO360" s="507"/>
      <c r="AP360" s="509"/>
      <c r="AQ360" s="634"/>
      <c r="AR360" s="606"/>
      <c r="AS360" s="394"/>
      <c r="AT360" s="393"/>
      <c r="AU360" s="395"/>
      <c r="AV360" s="278"/>
      <c r="AW360" s="278"/>
      <c r="AX360" s="278"/>
      <c r="AY360" s="278"/>
      <c r="AZ360" s="278"/>
      <c r="BA360" s="278"/>
      <c r="BB360" s="278"/>
      <c r="BC360" s="278"/>
      <c r="BD360" s="278"/>
    </row>
    <row r="361" spans="1:56">
      <c r="A361" s="869"/>
      <c r="B361" s="870"/>
      <c r="C361" s="988"/>
      <c r="D361" s="990"/>
      <c r="E361" s="990"/>
      <c r="F361" s="990"/>
      <c r="G361" s="865"/>
      <c r="H361" s="865"/>
      <c r="I361" s="893"/>
      <c r="J361" s="895"/>
      <c r="K361" s="901"/>
      <c r="L361" s="866"/>
      <c r="M361" s="865"/>
      <c r="N361" s="865"/>
      <c r="O361" s="893"/>
      <c r="P361" s="992"/>
      <c r="Q361" s="901"/>
      <c r="R361" s="866"/>
      <c r="S361" s="865"/>
      <c r="T361" s="865"/>
      <c r="U361" s="893"/>
      <c r="V361" s="992"/>
      <c r="W361" s="901"/>
      <c r="X361" s="866"/>
      <c r="Y361" s="865"/>
      <c r="Z361" s="865"/>
      <c r="AA361" s="893"/>
      <c r="AB361" s="992"/>
      <c r="AC361" s="901"/>
      <c r="AD361" s="907"/>
      <c r="AE361" s="507"/>
      <c r="AF361" s="507"/>
      <c r="AG361" s="507"/>
      <c r="AH361" s="286"/>
      <c r="AI361" s="507"/>
      <c r="AJ361" s="509"/>
      <c r="AK361" s="507"/>
      <c r="AL361" s="507"/>
      <c r="AM361" s="507"/>
      <c r="AN361" s="286"/>
      <c r="AO361" s="507"/>
      <c r="AP361" s="509"/>
      <c r="AQ361" s="634"/>
      <c r="AR361" s="606"/>
      <c r="AS361" s="394"/>
      <c r="AT361" s="393"/>
      <c r="AU361" s="395"/>
      <c r="AV361" s="278"/>
      <c r="AW361" s="278"/>
      <c r="AX361" s="278"/>
      <c r="AY361" s="278"/>
      <c r="AZ361" s="278"/>
      <c r="BA361" s="278"/>
      <c r="BB361" s="278"/>
      <c r="BC361" s="278"/>
      <c r="BD361" s="278"/>
    </row>
    <row r="362" spans="1:56">
      <c r="A362" s="869">
        <v>96</v>
      </c>
      <c r="B362" s="870" t="s">
        <v>776</v>
      </c>
      <c r="C362" s="891" t="s">
        <v>777</v>
      </c>
      <c r="D362" s="892" t="s">
        <v>778</v>
      </c>
      <c r="E362" s="873">
        <v>65.94</v>
      </c>
      <c r="F362" s="874">
        <v>453601.25999999995</v>
      </c>
      <c r="G362" s="507"/>
      <c r="H362" s="507"/>
      <c r="I362" s="511"/>
      <c r="J362" s="534"/>
      <c r="K362" s="274"/>
      <c r="L362" s="508"/>
      <c r="M362" s="865" t="s">
        <v>779</v>
      </c>
      <c r="N362" s="865" t="s">
        <v>780</v>
      </c>
      <c r="O362" s="893" t="s">
        <v>114</v>
      </c>
      <c r="P362" s="517">
        <v>5</v>
      </c>
      <c r="Q362" s="518" t="s">
        <v>17</v>
      </c>
      <c r="R362" s="909">
        <v>90200</v>
      </c>
      <c r="S362" s="865" t="s">
        <v>780</v>
      </c>
      <c r="T362" s="865" t="s">
        <v>781</v>
      </c>
      <c r="U362" s="893" t="s">
        <v>114</v>
      </c>
      <c r="V362" s="517">
        <v>5</v>
      </c>
      <c r="W362" s="518" t="s">
        <v>17</v>
      </c>
      <c r="X362" s="909">
        <v>70000</v>
      </c>
      <c r="Y362" s="865" t="s">
        <v>781</v>
      </c>
      <c r="Z362" s="865" t="s">
        <v>2603</v>
      </c>
      <c r="AA362" s="865" t="s">
        <v>31</v>
      </c>
      <c r="AB362" s="517">
        <v>6</v>
      </c>
      <c r="AC362" s="518" t="s">
        <v>17</v>
      </c>
      <c r="AD362" s="978">
        <v>256300</v>
      </c>
      <c r="AE362" s="507"/>
      <c r="AF362" s="507"/>
      <c r="AG362" s="507"/>
      <c r="AH362" s="286"/>
      <c r="AI362" s="507"/>
      <c r="AJ362" s="509"/>
      <c r="AK362" s="507"/>
      <c r="AL362" s="507"/>
      <c r="AM362" s="507"/>
      <c r="AN362" s="286"/>
      <c r="AO362" s="507"/>
      <c r="AP362" s="509"/>
      <c r="AQ362" s="634"/>
      <c r="AR362" s="606"/>
      <c r="AS362" s="394"/>
      <c r="AT362" s="393"/>
      <c r="AU362" s="395"/>
      <c r="AV362" s="278"/>
      <c r="AW362" s="278"/>
      <c r="AX362" s="278"/>
      <c r="AY362" s="278"/>
      <c r="AZ362" s="278"/>
      <c r="BA362" s="278"/>
      <c r="BB362" s="278"/>
      <c r="BC362" s="278"/>
      <c r="BD362" s="278"/>
    </row>
    <row r="363" spans="1:56">
      <c r="A363" s="869"/>
      <c r="B363" s="870"/>
      <c r="C363" s="891"/>
      <c r="D363" s="892"/>
      <c r="E363" s="873"/>
      <c r="F363" s="874"/>
      <c r="G363" s="507"/>
      <c r="H363" s="507"/>
      <c r="I363" s="511"/>
      <c r="J363" s="534"/>
      <c r="K363" s="274"/>
      <c r="L363" s="508"/>
      <c r="M363" s="865"/>
      <c r="N363" s="865"/>
      <c r="O363" s="916"/>
      <c r="P363" s="517">
        <f>F362/E362*P362</f>
        <v>34394.999999999993</v>
      </c>
      <c r="Q363" s="507" t="s">
        <v>32</v>
      </c>
      <c r="R363" s="909"/>
      <c r="S363" s="865"/>
      <c r="T363" s="865"/>
      <c r="U363" s="916"/>
      <c r="V363" s="517">
        <f>F362/E362*V362</f>
        <v>34394.999999999993</v>
      </c>
      <c r="W363" s="507" t="s">
        <v>32</v>
      </c>
      <c r="X363" s="909"/>
      <c r="Y363" s="865"/>
      <c r="Z363" s="865"/>
      <c r="AA363" s="865"/>
      <c r="AB363" s="517">
        <f>F362/E362*AB362</f>
        <v>41273.999999999993</v>
      </c>
      <c r="AC363" s="507" t="s">
        <v>32</v>
      </c>
      <c r="AD363" s="978"/>
      <c r="AE363" s="507"/>
      <c r="AF363" s="507"/>
      <c r="AG363" s="507"/>
      <c r="AH363" s="286"/>
      <c r="AI363" s="507"/>
      <c r="AJ363" s="509"/>
      <c r="AK363" s="507"/>
      <c r="AL363" s="507"/>
      <c r="AM363" s="507"/>
      <c r="AN363" s="286"/>
      <c r="AO363" s="507"/>
      <c r="AP363" s="509"/>
      <c r="AQ363" s="634"/>
      <c r="AR363" s="606"/>
      <c r="AS363" s="394"/>
      <c r="AT363" s="393"/>
      <c r="AU363" s="395"/>
      <c r="AV363" s="278"/>
      <c r="AW363" s="278"/>
      <c r="AX363" s="278"/>
      <c r="AY363" s="278"/>
      <c r="AZ363" s="278"/>
      <c r="BA363" s="278"/>
      <c r="BB363" s="278"/>
      <c r="BC363" s="278"/>
      <c r="BD363" s="278"/>
    </row>
    <row r="364" spans="1:56">
      <c r="A364" s="869">
        <v>97</v>
      </c>
      <c r="B364" s="870">
        <v>805766</v>
      </c>
      <c r="C364" s="891" t="s">
        <v>782</v>
      </c>
      <c r="D364" s="892" t="s">
        <v>783</v>
      </c>
      <c r="E364" s="873">
        <v>58.83</v>
      </c>
      <c r="F364" s="874">
        <v>352980</v>
      </c>
      <c r="G364" s="865" t="s">
        <v>784</v>
      </c>
      <c r="H364" s="865" t="s">
        <v>785</v>
      </c>
      <c r="I364" s="893" t="s">
        <v>31</v>
      </c>
      <c r="J364" s="275">
        <v>3.85</v>
      </c>
      <c r="K364" s="518" t="s">
        <v>17</v>
      </c>
      <c r="L364" s="909">
        <f>66524.15527</f>
        <v>66524.155270000003</v>
      </c>
      <c r="M364" s="865"/>
      <c r="N364" s="865"/>
      <c r="O364" s="865"/>
      <c r="P364" s="517"/>
      <c r="Q364" s="518"/>
      <c r="R364" s="909"/>
      <c r="S364" s="865" t="s">
        <v>786</v>
      </c>
      <c r="T364" s="865" t="s">
        <v>787</v>
      </c>
      <c r="U364" s="865" t="s">
        <v>31</v>
      </c>
      <c r="V364" s="517">
        <v>1.35</v>
      </c>
      <c r="W364" s="518" t="s">
        <v>17</v>
      </c>
      <c r="X364" s="909">
        <v>31702.05</v>
      </c>
      <c r="Y364" s="865" t="s">
        <v>791</v>
      </c>
      <c r="Z364" s="865" t="s">
        <v>2989</v>
      </c>
      <c r="AA364" s="865" t="s">
        <v>31</v>
      </c>
      <c r="AB364" s="517">
        <v>5.7</v>
      </c>
      <c r="AC364" s="518" t="s">
        <v>17</v>
      </c>
      <c r="AD364" s="978">
        <v>234100</v>
      </c>
      <c r="AE364" s="507"/>
      <c r="AF364" s="507"/>
      <c r="AG364" s="507"/>
      <c r="AH364" s="286"/>
      <c r="AI364" s="507"/>
      <c r="AJ364" s="509"/>
      <c r="AK364" s="507"/>
      <c r="AL364" s="507"/>
      <c r="AM364" s="507" t="s">
        <v>482</v>
      </c>
      <c r="AN364" s="286"/>
      <c r="AO364" s="507"/>
      <c r="AP364" s="509"/>
      <c r="AQ364" s="634"/>
      <c r="AR364" s="606"/>
      <c r="AS364" s="394"/>
      <c r="AT364" s="393"/>
      <c r="AU364" s="395"/>
      <c r="AV364" s="278"/>
      <c r="AW364" s="278"/>
      <c r="AX364" s="278"/>
      <c r="AY364" s="278"/>
      <c r="AZ364" s="278"/>
      <c r="BA364" s="278"/>
      <c r="BB364" s="278"/>
      <c r="BC364" s="278"/>
      <c r="BD364" s="278"/>
    </row>
    <row r="365" spans="1:56">
      <c r="A365" s="869"/>
      <c r="B365" s="870"/>
      <c r="C365" s="891"/>
      <c r="D365" s="892"/>
      <c r="E365" s="873"/>
      <c r="F365" s="874"/>
      <c r="G365" s="865"/>
      <c r="H365" s="865"/>
      <c r="I365" s="893"/>
      <c r="J365" s="136">
        <v>27022.28</v>
      </c>
      <c r="K365" s="507" t="s">
        <v>32</v>
      </c>
      <c r="L365" s="909"/>
      <c r="M365" s="865"/>
      <c r="N365" s="865"/>
      <c r="O365" s="865"/>
      <c r="P365" s="517"/>
      <c r="Q365" s="507"/>
      <c r="R365" s="909"/>
      <c r="S365" s="865"/>
      <c r="T365" s="865"/>
      <c r="U365" s="865"/>
      <c r="V365" s="517">
        <f>F364/E364*V364</f>
        <v>8100.0000000000009</v>
      </c>
      <c r="W365" s="507" t="s">
        <v>32</v>
      </c>
      <c r="X365" s="909"/>
      <c r="Y365" s="865"/>
      <c r="Z365" s="865"/>
      <c r="AA365" s="865"/>
      <c r="AB365" s="517">
        <f>F364/E364*AB364</f>
        <v>34200</v>
      </c>
      <c r="AC365" s="507" t="s">
        <v>32</v>
      </c>
      <c r="AD365" s="978"/>
      <c r="AE365" s="507"/>
      <c r="AF365" s="507"/>
      <c r="AG365" s="507"/>
      <c r="AH365" s="286"/>
      <c r="AI365" s="507"/>
      <c r="AJ365" s="509"/>
      <c r="AK365" s="515"/>
      <c r="AL365" s="515"/>
      <c r="AM365" s="515"/>
      <c r="AN365" s="517"/>
      <c r="AO365" s="515"/>
      <c r="AP365" s="623"/>
      <c r="AQ365" s="634"/>
      <c r="AR365" s="606"/>
      <c r="AS365" s="394"/>
      <c r="AT365" s="393"/>
      <c r="AU365" s="395"/>
      <c r="AV365" s="278"/>
      <c r="AW365" s="278"/>
      <c r="AX365" s="278"/>
      <c r="AY365" s="278"/>
      <c r="AZ365" s="278"/>
      <c r="BA365" s="278"/>
      <c r="BB365" s="278"/>
      <c r="BC365" s="278"/>
      <c r="BD365" s="278"/>
    </row>
    <row r="366" spans="1:56" ht="39">
      <c r="A366" s="869"/>
      <c r="B366" s="870"/>
      <c r="C366" s="891"/>
      <c r="D366" s="892"/>
      <c r="E366" s="873"/>
      <c r="F366" s="874"/>
      <c r="G366" s="865"/>
      <c r="H366" s="865"/>
      <c r="I366" s="512" t="s">
        <v>2682</v>
      </c>
      <c r="J366" s="534">
        <v>1</v>
      </c>
      <c r="K366" s="507" t="s">
        <v>118</v>
      </c>
      <c r="L366" s="336">
        <v>46.2</v>
      </c>
      <c r="M366" s="507"/>
      <c r="N366" s="507"/>
      <c r="O366" s="507"/>
      <c r="P366" s="517"/>
      <c r="Q366" s="507"/>
      <c r="R366" s="336"/>
      <c r="S366" s="507"/>
      <c r="T366" s="507"/>
      <c r="U366" s="507"/>
      <c r="V366" s="517"/>
      <c r="W366" s="507"/>
      <c r="X366" s="336"/>
      <c r="Y366" s="507"/>
      <c r="Z366" s="507"/>
      <c r="AA366" s="507"/>
      <c r="AB366" s="517"/>
      <c r="AC366" s="507"/>
      <c r="AD366" s="623"/>
      <c r="AE366" s="507"/>
      <c r="AF366" s="507"/>
      <c r="AG366" s="507"/>
      <c r="AH366" s="286"/>
      <c r="AI366" s="507"/>
      <c r="AJ366" s="509"/>
      <c r="AK366" s="515"/>
      <c r="AL366" s="515"/>
      <c r="AM366" s="515"/>
      <c r="AN366" s="517"/>
      <c r="AO366" s="515"/>
      <c r="AP366" s="623"/>
      <c r="AQ366" s="634"/>
      <c r="AR366" s="606"/>
      <c r="AS366" s="394"/>
      <c r="AT366" s="393"/>
      <c r="AU366" s="395"/>
      <c r="AV366" s="278"/>
      <c r="AW366" s="278"/>
      <c r="AX366" s="278"/>
      <c r="AY366" s="278"/>
      <c r="AZ366" s="278"/>
      <c r="BA366" s="278"/>
      <c r="BB366" s="278"/>
      <c r="BC366" s="278"/>
      <c r="BD366" s="278"/>
    </row>
    <row r="367" spans="1:56">
      <c r="A367" s="869"/>
      <c r="B367" s="870"/>
      <c r="C367" s="891"/>
      <c r="D367" s="892"/>
      <c r="E367" s="873"/>
      <c r="F367" s="874"/>
      <c r="G367" s="865" t="s">
        <v>787</v>
      </c>
      <c r="H367" s="865" t="s">
        <v>788</v>
      </c>
      <c r="I367" s="893" t="s">
        <v>114</v>
      </c>
      <c r="J367" s="275">
        <v>3</v>
      </c>
      <c r="K367" s="518" t="s">
        <v>17</v>
      </c>
      <c r="L367" s="909">
        <v>26132.445599999999</v>
      </c>
      <c r="M367" s="507"/>
      <c r="N367" s="507"/>
      <c r="O367" s="507"/>
      <c r="P367" s="517"/>
      <c r="Q367" s="507"/>
      <c r="R367" s="336"/>
      <c r="S367" s="865" t="s">
        <v>789</v>
      </c>
      <c r="T367" s="865" t="s">
        <v>790</v>
      </c>
      <c r="U367" s="865" t="s">
        <v>31</v>
      </c>
      <c r="V367" s="517">
        <v>8.85</v>
      </c>
      <c r="W367" s="518" t="s">
        <v>17</v>
      </c>
      <c r="X367" s="909">
        <v>207824.55</v>
      </c>
      <c r="Y367" s="507"/>
      <c r="Z367" s="507"/>
      <c r="AA367" s="507"/>
      <c r="AB367" s="517"/>
      <c r="AC367" s="507"/>
      <c r="AD367" s="623"/>
      <c r="AE367" s="507"/>
      <c r="AF367" s="507"/>
      <c r="AG367" s="507"/>
      <c r="AH367" s="286"/>
      <c r="AI367" s="507"/>
      <c r="AJ367" s="509"/>
      <c r="AK367" s="515"/>
      <c r="AL367" s="515"/>
      <c r="AM367" s="515"/>
      <c r="AN367" s="517"/>
      <c r="AO367" s="515"/>
      <c r="AP367" s="623"/>
      <c r="AQ367" s="634"/>
      <c r="AR367" s="606"/>
      <c r="AS367" s="394"/>
      <c r="AT367" s="393"/>
      <c r="AU367" s="395"/>
      <c r="AV367" s="278"/>
      <c r="AW367" s="278"/>
      <c r="AX367" s="278"/>
      <c r="AY367" s="278"/>
      <c r="AZ367" s="278"/>
      <c r="BA367" s="278"/>
      <c r="BB367" s="278"/>
      <c r="BC367" s="278"/>
      <c r="BD367" s="278"/>
    </row>
    <row r="368" spans="1:56">
      <c r="A368" s="869"/>
      <c r="B368" s="870"/>
      <c r="C368" s="891"/>
      <c r="D368" s="892"/>
      <c r="E368" s="873"/>
      <c r="F368" s="874"/>
      <c r="G368" s="865"/>
      <c r="H368" s="865"/>
      <c r="I368" s="916"/>
      <c r="J368" s="136">
        <f>J367*F364/E364</f>
        <v>18000</v>
      </c>
      <c r="K368" s="507" t="s">
        <v>32</v>
      </c>
      <c r="L368" s="909"/>
      <c r="M368" s="507"/>
      <c r="N368" s="507"/>
      <c r="O368" s="507"/>
      <c r="P368" s="517"/>
      <c r="Q368" s="507"/>
      <c r="R368" s="336"/>
      <c r="S368" s="865"/>
      <c r="T368" s="865"/>
      <c r="U368" s="865"/>
      <c r="V368" s="517">
        <f>V367*F364/E364</f>
        <v>53100</v>
      </c>
      <c r="W368" s="507" t="s">
        <v>32</v>
      </c>
      <c r="X368" s="909"/>
      <c r="Y368" s="507"/>
      <c r="Z368" s="507"/>
      <c r="AA368" s="507"/>
      <c r="AB368" s="517"/>
      <c r="AC368" s="507"/>
      <c r="AD368" s="623"/>
      <c r="AE368" s="507"/>
      <c r="AF368" s="507"/>
      <c r="AG368" s="507"/>
      <c r="AH368" s="286"/>
      <c r="AI368" s="507"/>
      <c r="AJ368" s="509"/>
      <c r="AK368" s="515"/>
      <c r="AL368" s="515"/>
      <c r="AM368" s="515"/>
      <c r="AN368" s="517"/>
      <c r="AO368" s="515"/>
      <c r="AP368" s="623"/>
      <c r="AQ368" s="634"/>
      <c r="AR368" s="606"/>
      <c r="AS368" s="394"/>
      <c r="AT368" s="393"/>
      <c r="AU368" s="395"/>
      <c r="AV368" s="278"/>
      <c r="AW368" s="278"/>
      <c r="AX368" s="278"/>
      <c r="AY368" s="278"/>
      <c r="AZ368" s="278"/>
      <c r="BA368" s="278"/>
      <c r="BB368" s="278"/>
      <c r="BC368" s="278"/>
      <c r="BD368" s="278"/>
    </row>
    <row r="369" spans="1:56">
      <c r="A369" s="869"/>
      <c r="B369" s="870"/>
      <c r="C369" s="891"/>
      <c r="D369" s="892"/>
      <c r="E369" s="873"/>
      <c r="F369" s="874"/>
      <c r="G369" s="865" t="s">
        <v>524</v>
      </c>
      <c r="H369" s="865" t="s">
        <v>791</v>
      </c>
      <c r="I369" s="893" t="s">
        <v>114</v>
      </c>
      <c r="J369" s="275">
        <v>6.3</v>
      </c>
      <c r="K369" s="518" t="s">
        <v>17</v>
      </c>
      <c r="L369" s="909">
        <v>57473.678399999997</v>
      </c>
      <c r="M369" s="507"/>
      <c r="N369" s="507"/>
      <c r="O369" s="507"/>
      <c r="P369" s="517"/>
      <c r="Q369" s="507"/>
      <c r="R369" s="336"/>
      <c r="S369" s="865" t="s">
        <v>785</v>
      </c>
      <c r="T369" s="865" t="s">
        <v>786</v>
      </c>
      <c r="U369" s="865" t="s">
        <v>31</v>
      </c>
      <c r="V369" s="517"/>
      <c r="W369" s="507"/>
      <c r="X369" s="336"/>
      <c r="Y369" s="507"/>
      <c r="Z369" s="507"/>
      <c r="AA369" s="507"/>
      <c r="AB369" s="517"/>
      <c r="AC369" s="507"/>
      <c r="AD369" s="623"/>
      <c r="AE369" s="507"/>
      <c r="AF369" s="507"/>
      <c r="AG369" s="507"/>
      <c r="AH369" s="286"/>
      <c r="AI369" s="507"/>
      <c r="AJ369" s="509"/>
      <c r="AK369" s="515"/>
      <c r="AL369" s="515"/>
      <c r="AM369" s="515"/>
      <c r="AN369" s="517"/>
      <c r="AO369" s="515"/>
      <c r="AP369" s="623"/>
      <c r="AQ369" s="634"/>
      <c r="AR369" s="606"/>
      <c r="AS369" s="394"/>
      <c r="AT369" s="393"/>
      <c r="AU369" s="395"/>
      <c r="AV369" s="278"/>
      <c r="AW369" s="278"/>
      <c r="AX369" s="278"/>
      <c r="AY369" s="278"/>
      <c r="AZ369" s="278"/>
      <c r="BA369" s="278"/>
      <c r="BB369" s="278"/>
      <c r="BC369" s="278"/>
      <c r="BD369" s="278"/>
    </row>
    <row r="370" spans="1:56">
      <c r="A370" s="869"/>
      <c r="B370" s="870"/>
      <c r="C370" s="891"/>
      <c r="D370" s="892"/>
      <c r="E370" s="873"/>
      <c r="F370" s="874"/>
      <c r="G370" s="865"/>
      <c r="H370" s="865"/>
      <c r="I370" s="916"/>
      <c r="J370" s="136">
        <f>J369*F364/E364</f>
        <v>37800</v>
      </c>
      <c r="K370" s="507" t="s">
        <v>32</v>
      </c>
      <c r="L370" s="909"/>
      <c r="M370" s="507"/>
      <c r="N370" s="507"/>
      <c r="O370" s="507"/>
      <c r="P370" s="517"/>
      <c r="Q370" s="507"/>
      <c r="R370" s="336"/>
      <c r="S370" s="865"/>
      <c r="T370" s="865"/>
      <c r="U370" s="865"/>
      <c r="V370" s="517"/>
      <c r="W370" s="507"/>
      <c r="X370" s="336"/>
      <c r="Y370" s="507"/>
      <c r="Z370" s="507"/>
      <c r="AA370" s="507"/>
      <c r="AB370" s="517"/>
      <c r="AC370" s="507"/>
      <c r="AD370" s="623"/>
      <c r="AE370" s="507"/>
      <c r="AF370" s="507"/>
      <c r="AG370" s="507"/>
      <c r="AH370" s="286"/>
      <c r="AI370" s="507"/>
      <c r="AJ370" s="509"/>
      <c r="AK370" s="515"/>
      <c r="AL370" s="515"/>
      <c r="AM370" s="515"/>
      <c r="AN370" s="517"/>
      <c r="AO370" s="515"/>
      <c r="AP370" s="623"/>
      <c r="AQ370" s="634"/>
      <c r="AR370" s="606"/>
      <c r="AS370" s="394"/>
      <c r="AT370" s="393"/>
      <c r="AU370" s="395"/>
      <c r="AV370" s="278"/>
      <c r="AW370" s="278"/>
      <c r="AX370" s="278"/>
      <c r="AY370" s="278"/>
      <c r="AZ370" s="278"/>
      <c r="BA370" s="278"/>
      <c r="BB370" s="278"/>
      <c r="BC370" s="278"/>
      <c r="BD370" s="278"/>
    </row>
    <row r="371" spans="1:56">
      <c r="A371" s="869">
        <v>98</v>
      </c>
      <c r="B371" s="870" t="s">
        <v>792</v>
      </c>
      <c r="C371" s="891" t="s">
        <v>793</v>
      </c>
      <c r="D371" s="892" t="s">
        <v>794</v>
      </c>
      <c r="E371" s="873">
        <v>60.551000000000002</v>
      </c>
      <c r="F371" s="874">
        <v>399636.6</v>
      </c>
      <c r="G371" s="865"/>
      <c r="H371" s="865"/>
      <c r="I371" s="893"/>
      <c r="J371" s="534"/>
      <c r="K371" s="274"/>
      <c r="L371" s="866"/>
      <c r="M371" s="893"/>
      <c r="N371" s="893"/>
      <c r="O371" s="865"/>
      <c r="P371" s="286"/>
      <c r="Q371" s="518"/>
      <c r="R371" s="866"/>
      <c r="S371" s="507"/>
      <c r="T371" s="507"/>
      <c r="U371" s="507" t="s">
        <v>482</v>
      </c>
      <c r="V371" s="286"/>
      <c r="W371" s="274"/>
      <c r="X371" s="508"/>
      <c r="Y371" s="865" t="s">
        <v>2990</v>
      </c>
      <c r="Z371" s="865" t="s">
        <v>2991</v>
      </c>
      <c r="AA371" s="865" t="s">
        <v>31</v>
      </c>
      <c r="AB371" s="517">
        <v>5.4</v>
      </c>
      <c r="AC371" s="518" t="s">
        <v>17</v>
      </c>
      <c r="AD371" s="978">
        <v>215600</v>
      </c>
      <c r="AE371" s="507"/>
      <c r="AF371" s="507"/>
      <c r="AG371" s="507"/>
      <c r="AH371" s="286"/>
      <c r="AI371" s="507"/>
      <c r="AJ371" s="509"/>
      <c r="AK371" s="507"/>
      <c r="AL371" s="507"/>
      <c r="AM371" s="507"/>
      <c r="AN371" s="286"/>
      <c r="AO371" s="507"/>
      <c r="AP371" s="509"/>
      <c r="AQ371" s="634"/>
      <c r="AR371" s="606"/>
      <c r="AS371" s="394"/>
      <c r="AT371" s="393"/>
      <c r="AU371" s="395"/>
      <c r="AV371" s="278"/>
      <c r="AW371" s="278"/>
      <c r="AX371" s="278"/>
      <c r="AY371" s="278"/>
      <c r="AZ371" s="278"/>
      <c r="BA371" s="278"/>
      <c r="BB371" s="278"/>
      <c r="BC371" s="278"/>
      <c r="BD371" s="278"/>
    </row>
    <row r="372" spans="1:56">
      <c r="A372" s="869"/>
      <c r="B372" s="870"/>
      <c r="C372" s="891"/>
      <c r="D372" s="892"/>
      <c r="E372" s="873"/>
      <c r="F372" s="874"/>
      <c r="G372" s="865"/>
      <c r="H372" s="865"/>
      <c r="I372" s="893"/>
      <c r="J372" s="534"/>
      <c r="K372" s="518"/>
      <c r="L372" s="866"/>
      <c r="M372" s="893"/>
      <c r="N372" s="893"/>
      <c r="O372" s="865"/>
      <c r="P372" s="287"/>
      <c r="Q372" s="507"/>
      <c r="R372" s="866"/>
      <c r="S372" s="507"/>
      <c r="T372" s="507"/>
      <c r="U372" s="515"/>
      <c r="V372" s="521"/>
      <c r="W372" s="275"/>
      <c r="X372" s="336"/>
      <c r="Y372" s="865"/>
      <c r="Z372" s="865"/>
      <c r="AA372" s="865"/>
      <c r="AB372" s="517">
        <f>F371/E371*AB371</f>
        <v>35640</v>
      </c>
      <c r="AC372" s="507" t="s">
        <v>32</v>
      </c>
      <c r="AD372" s="978"/>
      <c r="AE372" s="515"/>
      <c r="AF372" s="515"/>
      <c r="AG372" s="515"/>
      <c r="AH372" s="517"/>
      <c r="AI372" s="515"/>
      <c r="AJ372" s="623"/>
      <c r="AK372" s="515"/>
      <c r="AL372" s="515"/>
      <c r="AM372" s="515"/>
      <c r="AN372" s="517"/>
      <c r="AO372" s="515"/>
      <c r="AP372" s="623"/>
      <c r="AQ372" s="634"/>
      <c r="AR372" s="606"/>
      <c r="AS372" s="394"/>
      <c r="AT372" s="393"/>
      <c r="AU372" s="395"/>
      <c r="AV372" s="278"/>
      <c r="AW372" s="278"/>
      <c r="AX372" s="278"/>
      <c r="AY372" s="278"/>
      <c r="AZ372" s="278"/>
      <c r="BA372" s="278"/>
      <c r="BB372" s="278"/>
      <c r="BC372" s="278"/>
      <c r="BD372" s="278"/>
    </row>
    <row r="373" spans="1:56">
      <c r="A373" s="869">
        <v>99</v>
      </c>
      <c r="B373" s="870" t="s">
        <v>795</v>
      </c>
      <c r="C373" s="891" t="s">
        <v>796</v>
      </c>
      <c r="D373" s="892" t="s">
        <v>797</v>
      </c>
      <c r="E373" s="873">
        <v>62.23</v>
      </c>
      <c r="F373" s="874">
        <v>435610</v>
      </c>
      <c r="G373" s="865" t="s">
        <v>798</v>
      </c>
      <c r="H373" s="865" t="s">
        <v>799</v>
      </c>
      <c r="I373" s="893" t="s">
        <v>114</v>
      </c>
      <c r="J373" s="274">
        <v>5</v>
      </c>
      <c r="K373" s="518" t="s">
        <v>17</v>
      </c>
      <c r="L373" s="866">
        <v>66943.213650000005</v>
      </c>
      <c r="M373" s="865" t="s">
        <v>800</v>
      </c>
      <c r="N373" s="865" t="s">
        <v>798</v>
      </c>
      <c r="O373" s="893" t="s">
        <v>114</v>
      </c>
      <c r="P373" s="286">
        <v>5</v>
      </c>
      <c r="Q373" s="518" t="s">
        <v>17</v>
      </c>
      <c r="R373" s="866">
        <v>66600</v>
      </c>
      <c r="S373" s="865" t="s">
        <v>801</v>
      </c>
      <c r="T373" s="865" t="s">
        <v>800</v>
      </c>
      <c r="U373" s="893" t="s">
        <v>114</v>
      </c>
      <c r="V373" s="286">
        <v>5</v>
      </c>
      <c r="W373" s="518" t="s">
        <v>17</v>
      </c>
      <c r="X373" s="866">
        <v>65000</v>
      </c>
      <c r="Y373" s="865" t="s">
        <v>2992</v>
      </c>
      <c r="Z373" s="865" t="s">
        <v>801</v>
      </c>
      <c r="AA373" s="865" t="s">
        <v>31</v>
      </c>
      <c r="AB373" s="286">
        <v>5.5</v>
      </c>
      <c r="AC373" s="518" t="s">
        <v>17</v>
      </c>
      <c r="AD373" s="907">
        <f>260000-15617.2</f>
        <v>244382.8</v>
      </c>
      <c r="AE373" s="515"/>
      <c r="AF373" s="515"/>
      <c r="AG373" s="515"/>
      <c r="AH373" s="517"/>
      <c r="AI373" s="515"/>
      <c r="AJ373" s="623"/>
      <c r="AK373" s="865"/>
      <c r="AL373" s="865"/>
      <c r="AM373" s="907" t="s">
        <v>31</v>
      </c>
      <c r="AN373" s="286">
        <v>2</v>
      </c>
      <c r="AO373" s="518" t="s">
        <v>17</v>
      </c>
      <c r="AP373" s="907">
        <v>120000</v>
      </c>
      <c r="AQ373" s="634"/>
      <c r="AR373" s="606"/>
      <c r="AS373" s="394"/>
      <c r="AT373" s="393"/>
      <c r="AU373" s="395"/>
      <c r="AV373" s="278"/>
      <c r="AW373" s="278"/>
      <c r="AX373" s="278"/>
      <c r="AY373" s="278"/>
      <c r="AZ373" s="278"/>
      <c r="BA373" s="278"/>
      <c r="BB373" s="278"/>
      <c r="BC373" s="278"/>
      <c r="BD373" s="278"/>
    </row>
    <row r="374" spans="1:56">
      <c r="A374" s="869"/>
      <c r="B374" s="870"/>
      <c r="C374" s="891"/>
      <c r="D374" s="892"/>
      <c r="E374" s="873"/>
      <c r="F374" s="874"/>
      <c r="G374" s="865"/>
      <c r="H374" s="865"/>
      <c r="I374" s="916"/>
      <c r="J374" s="534">
        <v>35000</v>
      </c>
      <c r="K374" s="507" t="s">
        <v>32</v>
      </c>
      <c r="L374" s="866"/>
      <c r="M374" s="865"/>
      <c r="N374" s="865"/>
      <c r="O374" s="916"/>
      <c r="P374" s="287">
        <f>F373/E373*P373</f>
        <v>35000</v>
      </c>
      <c r="Q374" s="507" t="s">
        <v>32</v>
      </c>
      <c r="R374" s="866"/>
      <c r="S374" s="865"/>
      <c r="T374" s="865"/>
      <c r="U374" s="916"/>
      <c r="V374" s="287">
        <f>F373/E373*V373</f>
        <v>35000</v>
      </c>
      <c r="W374" s="507" t="s">
        <v>32</v>
      </c>
      <c r="X374" s="866"/>
      <c r="Y374" s="865"/>
      <c r="Z374" s="865"/>
      <c r="AA374" s="865"/>
      <c r="AB374" s="287">
        <f>F373/E373*AB373</f>
        <v>38500</v>
      </c>
      <c r="AC374" s="507" t="s">
        <v>32</v>
      </c>
      <c r="AD374" s="907"/>
      <c r="AE374" s="515"/>
      <c r="AF374" s="515"/>
      <c r="AG374" s="515"/>
      <c r="AH374" s="517"/>
      <c r="AI374" s="515"/>
      <c r="AJ374" s="623"/>
      <c r="AK374" s="865"/>
      <c r="AL374" s="865"/>
      <c r="AM374" s="907"/>
      <c r="AN374" s="286">
        <f>F373/E373*AN373</f>
        <v>14000</v>
      </c>
      <c r="AO374" s="507" t="s">
        <v>32</v>
      </c>
      <c r="AP374" s="907"/>
      <c r="AQ374" s="634"/>
      <c r="AR374" s="606"/>
      <c r="AS374" s="394"/>
      <c r="AT374" s="393"/>
      <c r="AU374" s="395"/>
      <c r="AV374" s="278"/>
      <c r="AW374" s="278"/>
      <c r="AX374" s="278"/>
      <c r="AY374" s="278"/>
      <c r="AZ374" s="278"/>
      <c r="BA374" s="278"/>
      <c r="BB374" s="278"/>
      <c r="BC374" s="278"/>
      <c r="BD374" s="278"/>
    </row>
    <row r="375" spans="1:56" ht="39">
      <c r="A375" s="869"/>
      <c r="B375" s="870"/>
      <c r="C375" s="891"/>
      <c r="D375" s="892"/>
      <c r="E375" s="873"/>
      <c r="F375" s="874"/>
      <c r="G375" s="865"/>
      <c r="H375" s="865"/>
      <c r="I375" s="512" t="s">
        <v>2682</v>
      </c>
      <c r="J375" s="534">
        <v>1</v>
      </c>
      <c r="K375" s="507" t="s">
        <v>118</v>
      </c>
      <c r="L375" s="336">
        <v>25</v>
      </c>
      <c r="M375" s="507"/>
      <c r="N375" s="507"/>
      <c r="O375" s="513"/>
      <c r="P375" s="287"/>
      <c r="Q375" s="507"/>
      <c r="R375" s="508"/>
      <c r="S375" s="507"/>
      <c r="T375" s="507"/>
      <c r="U375" s="515"/>
      <c r="V375" s="287"/>
      <c r="W375" s="507"/>
      <c r="X375" s="508"/>
      <c r="Y375" s="507"/>
      <c r="Z375" s="507"/>
      <c r="AA375" s="507"/>
      <c r="AB375" s="287"/>
      <c r="AC375" s="507"/>
      <c r="AD375" s="509"/>
      <c r="AE375" s="515"/>
      <c r="AF375" s="515"/>
      <c r="AG375" s="515"/>
      <c r="AH375" s="517"/>
      <c r="AI375" s="515"/>
      <c r="AJ375" s="623"/>
      <c r="AK375" s="507"/>
      <c r="AL375" s="507"/>
      <c r="AM375" s="509"/>
      <c r="AN375" s="286"/>
      <c r="AO375" s="507"/>
      <c r="AP375" s="509"/>
      <c r="AQ375" s="634"/>
      <c r="AR375" s="606"/>
      <c r="AS375" s="394"/>
      <c r="AT375" s="393"/>
      <c r="AU375" s="395"/>
      <c r="AV375" s="278"/>
      <c r="AW375" s="278"/>
      <c r="AX375" s="278"/>
      <c r="AY375" s="278"/>
      <c r="AZ375" s="278"/>
      <c r="BA375" s="278"/>
      <c r="BB375" s="278"/>
      <c r="BC375" s="278"/>
      <c r="BD375" s="278"/>
    </row>
    <row r="376" spans="1:56">
      <c r="A376" s="869">
        <v>100</v>
      </c>
      <c r="B376" s="870" t="s">
        <v>802</v>
      </c>
      <c r="C376" s="891" t="s">
        <v>803</v>
      </c>
      <c r="D376" s="892" t="s">
        <v>804</v>
      </c>
      <c r="E376" s="873">
        <v>32.200000000000003</v>
      </c>
      <c r="F376" s="874">
        <v>212520</v>
      </c>
      <c r="G376" s="865" t="s">
        <v>60</v>
      </c>
      <c r="H376" s="865" t="s">
        <v>805</v>
      </c>
      <c r="I376" s="893" t="s">
        <v>114</v>
      </c>
      <c r="J376" s="9">
        <v>3.33</v>
      </c>
      <c r="K376" s="518" t="s">
        <v>17</v>
      </c>
      <c r="L376" s="866">
        <f>53188.74629/4.98*J376</f>
        <v>35565.968904759036</v>
      </c>
      <c r="M376" s="865" t="s">
        <v>806</v>
      </c>
      <c r="N376" s="865" t="s">
        <v>807</v>
      </c>
      <c r="O376" s="893" t="s">
        <v>114</v>
      </c>
      <c r="P376" s="286">
        <v>1.02</v>
      </c>
      <c r="Q376" s="518" t="s">
        <v>17</v>
      </c>
      <c r="R376" s="866">
        <f>97000/6.17*P376</f>
        <v>16035.656401944894</v>
      </c>
      <c r="S376" s="507"/>
      <c r="T376" s="507"/>
      <c r="U376" s="134"/>
      <c r="V376" s="285"/>
      <c r="W376" s="274"/>
      <c r="X376" s="628"/>
      <c r="Y376" s="507"/>
      <c r="Z376" s="507"/>
      <c r="AA376" s="507" t="s">
        <v>482</v>
      </c>
      <c r="AB376" s="286"/>
      <c r="AC376" s="274"/>
      <c r="AD376" s="509"/>
      <c r="AE376" s="507"/>
      <c r="AF376" s="507"/>
      <c r="AG376" s="507" t="s">
        <v>482</v>
      </c>
      <c r="AH376" s="286"/>
      <c r="AI376" s="507"/>
      <c r="AJ376" s="509"/>
      <c r="AK376" s="507"/>
      <c r="AL376" s="507"/>
      <c r="AM376" s="507"/>
      <c r="AN376" s="286"/>
      <c r="AO376" s="507"/>
      <c r="AP376" s="509"/>
      <c r="AQ376" s="634"/>
      <c r="AR376" s="606"/>
      <c r="AS376" s="394"/>
      <c r="AT376" s="393"/>
      <c r="AU376" s="395"/>
      <c r="AV376" s="278"/>
      <c r="AW376" s="278"/>
      <c r="AX376" s="278"/>
      <c r="AY376" s="278"/>
      <c r="AZ376" s="278"/>
      <c r="BA376" s="278"/>
      <c r="BB376" s="278"/>
      <c r="BC376" s="278"/>
      <c r="BD376" s="278"/>
    </row>
    <row r="377" spans="1:56">
      <c r="A377" s="869"/>
      <c r="B377" s="870"/>
      <c r="C377" s="891"/>
      <c r="D377" s="892"/>
      <c r="E377" s="873"/>
      <c r="F377" s="874"/>
      <c r="G377" s="865"/>
      <c r="H377" s="865"/>
      <c r="I377" s="916"/>
      <c r="J377" s="534">
        <f>J376*F376/E376</f>
        <v>21977.999999999996</v>
      </c>
      <c r="K377" s="507" t="s">
        <v>32</v>
      </c>
      <c r="L377" s="866"/>
      <c r="M377" s="865"/>
      <c r="N377" s="865"/>
      <c r="O377" s="916"/>
      <c r="P377" s="287">
        <f>F376/E376*P376</f>
        <v>6731.9999999999991</v>
      </c>
      <c r="Q377" s="507" t="s">
        <v>32</v>
      </c>
      <c r="R377" s="866"/>
      <c r="S377" s="507"/>
      <c r="T377" s="507"/>
      <c r="U377" s="515"/>
      <c r="V377" s="521"/>
      <c r="W377" s="275"/>
      <c r="X377" s="336"/>
      <c r="Y377" s="515"/>
      <c r="Z377" s="515"/>
      <c r="AA377" s="515"/>
      <c r="AB377" s="517"/>
      <c r="AC377" s="275"/>
      <c r="AD377" s="623"/>
      <c r="AE377" s="511"/>
      <c r="AF377" s="511"/>
      <c r="AG377" s="507"/>
      <c r="AH377" s="517"/>
      <c r="AI377" s="507"/>
      <c r="AJ377" s="509"/>
      <c r="AK377" s="511"/>
      <c r="AL377" s="511"/>
      <c r="AM377" s="507"/>
      <c r="AN377" s="286"/>
      <c r="AO377" s="507"/>
      <c r="AP377" s="509"/>
      <c r="AQ377" s="634"/>
      <c r="AR377" s="606"/>
      <c r="AS377" s="394"/>
      <c r="AT377" s="393"/>
      <c r="AU377" s="395"/>
      <c r="AV377" s="278"/>
      <c r="AW377" s="278"/>
      <c r="AX377" s="278"/>
      <c r="AY377" s="278"/>
      <c r="AZ377" s="278"/>
      <c r="BA377" s="278"/>
      <c r="BB377" s="278"/>
      <c r="BC377" s="278"/>
      <c r="BD377" s="278"/>
    </row>
    <row r="378" spans="1:56">
      <c r="A378" s="869"/>
      <c r="B378" s="870"/>
      <c r="C378" s="891"/>
      <c r="D378" s="892"/>
      <c r="E378" s="873"/>
      <c r="F378" s="874"/>
      <c r="G378" s="993" t="s">
        <v>107</v>
      </c>
      <c r="H378" s="865" t="s">
        <v>808</v>
      </c>
      <c r="I378" s="893" t="s">
        <v>114</v>
      </c>
      <c r="J378" s="507">
        <v>1.35</v>
      </c>
      <c r="K378" s="518" t="s">
        <v>17</v>
      </c>
      <c r="L378" s="866">
        <f>53188.74629/4.98*J378</f>
        <v>14418.63604246988</v>
      </c>
      <c r="M378" s="993" t="s">
        <v>809</v>
      </c>
      <c r="N378" s="865" t="s">
        <v>810</v>
      </c>
      <c r="O378" s="893" t="s">
        <v>114</v>
      </c>
      <c r="P378" s="286">
        <v>1.35</v>
      </c>
      <c r="Q378" s="518" t="s">
        <v>17</v>
      </c>
      <c r="R378" s="866">
        <f>97000/6.17*P378</f>
        <v>21223.662884927067</v>
      </c>
      <c r="S378" s="507"/>
      <c r="T378" s="507"/>
      <c r="U378" s="515"/>
      <c r="V378" s="521"/>
      <c r="W378" s="275"/>
      <c r="X378" s="336"/>
      <c r="Y378" s="515"/>
      <c r="Z378" s="515"/>
      <c r="AA378" s="515"/>
      <c r="AB378" s="517"/>
      <c r="AC378" s="275"/>
      <c r="AD378" s="623"/>
      <c r="AE378" s="511"/>
      <c r="AF378" s="511"/>
      <c r="AG378" s="507"/>
      <c r="AH378" s="517"/>
      <c r="AI378" s="507"/>
      <c r="AJ378" s="509"/>
      <c r="AK378" s="511"/>
      <c r="AL378" s="511"/>
      <c r="AM378" s="507"/>
      <c r="AN378" s="286"/>
      <c r="AO378" s="507"/>
      <c r="AP378" s="509"/>
      <c r="AQ378" s="634"/>
      <c r="AR378" s="606"/>
      <c r="AS378" s="394"/>
      <c r="AT378" s="393"/>
      <c r="AU378" s="395"/>
      <c r="AV378" s="278"/>
      <c r="AW378" s="278"/>
      <c r="AX378" s="278"/>
      <c r="AY378" s="278"/>
      <c r="AZ378" s="278"/>
      <c r="BA378" s="278"/>
      <c r="BB378" s="278"/>
      <c r="BC378" s="278"/>
      <c r="BD378" s="278"/>
    </row>
    <row r="379" spans="1:56">
      <c r="A379" s="869"/>
      <c r="B379" s="870"/>
      <c r="C379" s="891"/>
      <c r="D379" s="892"/>
      <c r="E379" s="873"/>
      <c r="F379" s="874"/>
      <c r="G379" s="993"/>
      <c r="H379" s="865"/>
      <c r="I379" s="916"/>
      <c r="J379" s="274">
        <f>J378*F376/E376</f>
        <v>8910</v>
      </c>
      <c r="K379" s="507" t="s">
        <v>32</v>
      </c>
      <c r="L379" s="866"/>
      <c r="M379" s="993"/>
      <c r="N379" s="865"/>
      <c r="O379" s="916"/>
      <c r="P379" s="287">
        <f>P378*F376/E376</f>
        <v>8910</v>
      </c>
      <c r="Q379" s="507" t="s">
        <v>32</v>
      </c>
      <c r="R379" s="866"/>
      <c r="S379" s="507"/>
      <c r="T379" s="507"/>
      <c r="U379" s="515"/>
      <c r="V379" s="521"/>
      <c r="W379" s="275"/>
      <c r="X379" s="336"/>
      <c r="Y379" s="515"/>
      <c r="Z379" s="515"/>
      <c r="AA379" s="515"/>
      <c r="AB379" s="517"/>
      <c r="AC379" s="275"/>
      <c r="AD379" s="623"/>
      <c r="AE379" s="511"/>
      <c r="AF379" s="511"/>
      <c r="AG379" s="507"/>
      <c r="AH379" s="517"/>
      <c r="AI379" s="507"/>
      <c r="AJ379" s="509"/>
      <c r="AK379" s="511"/>
      <c r="AL379" s="511"/>
      <c r="AM379" s="507"/>
      <c r="AN379" s="286"/>
      <c r="AO379" s="507"/>
      <c r="AP379" s="509"/>
      <c r="AQ379" s="634"/>
      <c r="AR379" s="606"/>
      <c r="AS379" s="394"/>
      <c r="AT379" s="393"/>
      <c r="AU379" s="395"/>
      <c r="AV379" s="278"/>
      <c r="AW379" s="278"/>
      <c r="AX379" s="278"/>
      <c r="AY379" s="278"/>
      <c r="AZ379" s="278"/>
      <c r="BA379" s="278"/>
      <c r="BB379" s="278"/>
      <c r="BC379" s="278"/>
      <c r="BD379" s="278"/>
    </row>
    <row r="380" spans="1:56">
      <c r="A380" s="869"/>
      <c r="B380" s="870"/>
      <c r="C380" s="891"/>
      <c r="D380" s="892"/>
      <c r="E380" s="873"/>
      <c r="F380" s="874"/>
      <c r="G380" s="993" t="s">
        <v>811</v>
      </c>
      <c r="H380" s="865" t="s">
        <v>812</v>
      </c>
      <c r="I380" s="893" t="s">
        <v>114</v>
      </c>
      <c r="J380" s="507">
        <v>0.3</v>
      </c>
      <c r="K380" s="518" t="s">
        <v>17</v>
      </c>
      <c r="L380" s="866">
        <f>53188.74629/4.98*J380</f>
        <v>3204.1413427710841</v>
      </c>
      <c r="M380" s="993" t="s">
        <v>813</v>
      </c>
      <c r="N380" s="865" t="s">
        <v>811</v>
      </c>
      <c r="O380" s="893" t="s">
        <v>114</v>
      </c>
      <c r="P380" s="286">
        <v>0.52</v>
      </c>
      <c r="Q380" s="518" t="s">
        <v>17</v>
      </c>
      <c r="R380" s="866">
        <f>97000/6.17*P380</f>
        <v>8175.0405186385742</v>
      </c>
      <c r="S380" s="507"/>
      <c r="T380" s="507"/>
      <c r="U380" s="515"/>
      <c r="V380" s="521"/>
      <c r="W380" s="275"/>
      <c r="X380" s="336"/>
      <c r="Y380" s="515"/>
      <c r="Z380" s="515"/>
      <c r="AA380" s="515"/>
      <c r="AB380" s="517"/>
      <c r="AC380" s="275"/>
      <c r="AD380" s="623"/>
      <c r="AE380" s="511"/>
      <c r="AF380" s="511"/>
      <c r="AG380" s="507"/>
      <c r="AH380" s="517"/>
      <c r="AI380" s="507"/>
      <c r="AJ380" s="509"/>
      <c r="AK380" s="511"/>
      <c r="AL380" s="511"/>
      <c r="AM380" s="507"/>
      <c r="AN380" s="286"/>
      <c r="AO380" s="507"/>
      <c r="AP380" s="509"/>
      <c r="AQ380" s="634"/>
      <c r="AR380" s="606"/>
      <c r="AS380" s="394"/>
      <c r="AT380" s="393"/>
      <c r="AU380" s="395"/>
      <c r="AV380" s="278"/>
      <c r="AW380" s="278"/>
      <c r="AX380" s="278"/>
      <c r="AY380" s="278"/>
      <c r="AZ380" s="278"/>
      <c r="BA380" s="278"/>
      <c r="BB380" s="278"/>
      <c r="BC380" s="278"/>
      <c r="BD380" s="278"/>
    </row>
    <row r="381" spans="1:56">
      <c r="A381" s="869"/>
      <c r="B381" s="870"/>
      <c r="C381" s="891"/>
      <c r="D381" s="892"/>
      <c r="E381" s="873"/>
      <c r="F381" s="874"/>
      <c r="G381" s="993"/>
      <c r="H381" s="865"/>
      <c r="I381" s="916"/>
      <c r="J381" s="274">
        <f>J380*F376/E376</f>
        <v>1979.9999999999998</v>
      </c>
      <c r="K381" s="507" t="s">
        <v>32</v>
      </c>
      <c r="L381" s="866"/>
      <c r="M381" s="993"/>
      <c r="N381" s="865"/>
      <c r="O381" s="916"/>
      <c r="P381" s="287">
        <f>P380*F376/E376</f>
        <v>3432</v>
      </c>
      <c r="Q381" s="507" t="s">
        <v>32</v>
      </c>
      <c r="R381" s="866"/>
      <c r="S381" s="507"/>
      <c r="T381" s="507"/>
      <c r="U381" s="515"/>
      <c r="V381" s="521"/>
      <c r="W381" s="275"/>
      <c r="X381" s="336"/>
      <c r="Y381" s="515"/>
      <c r="Z381" s="515"/>
      <c r="AA381" s="515"/>
      <c r="AB381" s="517"/>
      <c r="AC381" s="275"/>
      <c r="AD381" s="623"/>
      <c r="AE381" s="511"/>
      <c r="AF381" s="511"/>
      <c r="AG381" s="507"/>
      <c r="AH381" s="517"/>
      <c r="AI381" s="507"/>
      <c r="AJ381" s="509"/>
      <c r="AK381" s="511"/>
      <c r="AL381" s="511"/>
      <c r="AM381" s="507"/>
      <c r="AN381" s="286"/>
      <c r="AO381" s="507"/>
      <c r="AP381" s="509"/>
      <c r="AQ381" s="634"/>
      <c r="AR381" s="606"/>
      <c r="AS381" s="394"/>
      <c r="AT381" s="393"/>
      <c r="AU381" s="395"/>
      <c r="AV381" s="278"/>
      <c r="AW381" s="278"/>
      <c r="AX381" s="278"/>
      <c r="AY381" s="278"/>
      <c r="AZ381" s="278"/>
      <c r="BA381" s="278"/>
      <c r="BB381" s="278"/>
      <c r="BC381" s="278"/>
      <c r="BD381" s="278"/>
    </row>
    <row r="382" spans="1:56" ht="39">
      <c r="A382" s="869"/>
      <c r="B382" s="870"/>
      <c r="C382" s="891"/>
      <c r="D382" s="892"/>
      <c r="E382" s="873"/>
      <c r="F382" s="874"/>
      <c r="G382" s="993" t="s">
        <v>60</v>
      </c>
      <c r="H382" s="865" t="s">
        <v>812</v>
      </c>
      <c r="I382" s="512" t="s">
        <v>2682</v>
      </c>
      <c r="J382" s="534">
        <v>1</v>
      </c>
      <c r="K382" s="507" t="s">
        <v>118</v>
      </c>
      <c r="L382" s="336">
        <v>25</v>
      </c>
      <c r="M382" s="993" t="s">
        <v>814</v>
      </c>
      <c r="N382" s="865" t="s">
        <v>815</v>
      </c>
      <c r="O382" s="893" t="s">
        <v>114</v>
      </c>
      <c r="P382" s="286">
        <v>1.74</v>
      </c>
      <c r="Q382" s="518" t="s">
        <v>17</v>
      </c>
      <c r="R382" s="866">
        <f>97000/6.17*P382</f>
        <v>27354.943273905996</v>
      </c>
      <c r="S382" s="507"/>
      <c r="T382" s="507"/>
      <c r="U382" s="515"/>
      <c r="V382" s="521"/>
      <c r="W382" s="275"/>
      <c r="X382" s="336"/>
      <c r="Y382" s="515"/>
      <c r="Z382" s="515"/>
      <c r="AA382" s="515"/>
      <c r="AB382" s="517"/>
      <c r="AC382" s="275"/>
      <c r="AD382" s="623"/>
      <c r="AE382" s="511"/>
      <c r="AF382" s="511"/>
      <c r="AG382" s="507"/>
      <c r="AH382" s="517"/>
      <c r="AI382" s="507"/>
      <c r="AJ382" s="509"/>
      <c r="AK382" s="511"/>
      <c r="AL382" s="511"/>
      <c r="AM382" s="507"/>
      <c r="AN382" s="286"/>
      <c r="AO382" s="507"/>
      <c r="AP382" s="509"/>
      <c r="AQ382" s="634"/>
      <c r="AR382" s="606"/>
      <c r="AS382" s="394"/>
      <c r="AT382" s="393"/>
      <c r="AU382" s="395"/>
      <c r="AV382" s="278"/>
      <c r="AW382" s="278"/>
      <c r="AX382" s="278"/>
      <c r="AY382" s="278"/>
      <c r="AZ382" s="278"/>
      <c r="BA382" s="278"/>
      <c r="BB382" s="278"/>
      <c r="BC382" s="278"/>
      <c r="BD382" s="278"/>
    </row>
    <row r="383" spans="1:56">
      <c r="A383" s="869"/>
      <c r="B383" s="870"/>
      <c r="C383" s="891"/>
      <c r="D383" s="892"/>
      <c r="E383" s="873"/>
      <c r="F383" s="874"/>
      <c r="G383" s="993"/>
      <c r="H383" s="865"/>
      <c r="I383" s="512"/>
      <c r="J383" s="534"/>
      <c r="K383" s="507"/>
      <c r="L383" s="336"/>
      <c r="M383" s="993"/>
      <c r="N383" s="865"/>
      <c r="O383" s="916"/>
      <c r="P383" s="287">
        <f>P382*F376/E376</f>
        <v>11483.999999999998</v>
      </c>
      <c r="Q383" s="507" t="s">
        <v>32</v>
      </c>
      <c r="R383" s="866"/>
      <c r="S383" s="507"/>
      <c r="T383" s="507"/>
      <c r="U383" s="515"/>
      <c r="V383" s="521"/>
      <c r="W383" s="275"/>
      <c r="X383" s="336"/>
      <c r="Y383" s="515"/>
      <c r="Z383" s="515"/>
      <c r="AA383" s="515"/>
      <c r="AB383" s="517"/>
      <c r="AC383" s="275"/>
      <c r="AD383" s="623"/>
      <c r="AE383" s="511"/>
      <c r="AF383" s="511"/>
      <c r="AG383" s="507"/>
      <c r="AH383" s="517"/>
      <c r="AI383" s="507"/>
      <c r="AJ383" s="509"/>
      <c r="AK383" s="511"/>
      <c r="AL383" s="511"/>
      <c r="AM383" s="507"/>
      <c r="AN383" s="286"/>
      <c r="AO383" s="507"/>
      <c r="AP383" s="509"/>
      <c r="AQ383" s="634"/>
      <c r="AR383" s="606"/>
      <c r="AS383" s="394"/>
      <c r="AT383" s="393"/>
      <c r="AU383" s="395"/>
      <c r="AV383" s="278"/>
      <c r="AW383" s="278"/>
      <c r="AX383" s="278"/>
      <c r="AY383" s="278"/>
      <c r="AZ383" s="278"/>
      <c r="BA383" s="278"/>
      <c r="BB383" s="278"/>
      <c r="BC383" s="278"/>
      <c r="BD383" s="278"/>
    </row>
    <row r="384" spans="1:56">
      <c r="A384" s="869"/>
      <c r="B384" s="870"/>
      <c r="C384" s="891"/>
      <c r="D384" s="892"/>
      <c r="E384" s="873"/>
      <c r="F384" s="874"/>
      <c r="G384" s="993"/>
      <c r="H384" s="865"/>
      <c r="I384" s="893"/>
      <c r="J384" s="507"/>
      <c r="K384" s="518"/>
      <c r="L384" s="866"/>
      <c r="M384" s="993" t="s">
        <v>816</v>
      </c>
      <c r="N384" s="865" t="s">
        <v>817</v>
      </c>
      <c r="O384" s="893" t="s">
        <v>114</v>
      </c>
      <c r="P384" s="286">
        <v>1.54</v>
      </c>
      <c r="Q384" s="518" t="s">
        <v>17</v>
      </c>
      <c r="R384" s="866">
        <f>97000/6.17*P384</f>
        <v>24210.696920583468</v>
      </c>
      <c r="S384" s="507"/>
      <c r="T384" s="507"/>
      <c r="U384" s="515"/>
      <c r="V384" s="521"/>
      <c r="W384" s="275"/>
      <c r="X384" s="336"/>
      <c r="Y384" s="515"/>
      <c r="Z384" s="515"/>
      <c r="AA384" s="515"/>
      <c r="AB384" s="517"/>
      <c r="AC384" s="275"/>
      <c r="AD384" s="623"/>
      <c r="AE384" s="511"/>
      <c r="AF384" s="511"/>
      <c r="AG384" s="507"/>
      <c r="AH384" s="517"/>
      <c r="AI384" s="507"/>
      <c r="AJ384" s="509"/>
      <c r="AK384" s="511"/>
      <c r="AL384" s="511"/>
      <c r="AM384" s="507"/>
      <c r="AN384" s="286"/>
      <c r="AO384" s="507"/>
      <c r="AP384" s="509"/>
      <c r="AQ384" s="634"/>
      <c r="AR384" s="606"/>
      <c r="AS384" s="394"/>
      <c r="AT384" s="393"/>
      <c r="AU384" s="395"/>
      <c r="AV384" s="278"/>
      <c r="AW384" s="278"/>
      <c r="AX384" s="278"/>
      <c r="AY384" s="278"/>
      <c r="AZ384" s="278"/>
      <c r="BA384" s="278"/>
      <c r="BB384" s="278"/>
      <c r="BC384" s="278"/>
      <c r="BD384" s="278"/>
    </row>
    <row r="385" spans="1:56">
      <c r="A385" s="869"/>
      <c r="B385" s="870"/>
      <c r="C385" s="891"/>
      <c r="D385" s="892"/>
      <c r="E385" s="873"/>
      <c r="F385" s="874"/>
      <c r="G385" s="993"/>
      <c r="H385" s="865"/>
      <c r="I385" s="894"/>
      <c r="J385" s="274"/>
      <c r="K385" s="507"/>
      <c r="L385" s="866"/>
      <c r="M385" s="993"/>
      <c r="N385" s="865"/>
      <c r="O385" s="916"/>
      <c r="P385" s="287">
        <f>P384*F376/E376</f>
        <v>10163.999999999998</v>
      </c>
      <c r="Q385" s="507" t="s">
        <v>32</v>
      </c>
      <c r="R385" s="866"/>
      <c r="S385" s="507"/>
      <c r="T385" s="507"/>
      <c r="U385" s="515"/>
      <c r="V385" s="521"/>
      <c r="W385" s="275"/>
      <c r="X385" s="336"/>
      <c r="Y385" s="515"/>
      <c r="Z385" s="515"/>
      <c r="AA385" s="515"/>
      <c r="AB385" s="517"/>
      <c r="AC385" s="275"/>
      <c r="AD385" s="623"/>
      <c r="AE385" s="511"/>
      <c r="AF385" s="511"/>
      <c r="AG385" s="507"/>
      <c r="AH385" s="517"/>
      <c r="AI385" s="507"/>
      <c r="AJ385" s="509"/>
      <c r="AK385" s="511"/>
      <c r="AL385" s="511"/>
      <c r="AM385" s="507"/>
      <c r="AN385" s="286"/>
      <c r="AO385" s="507"/>
      <c r="AP385" s="509"/>
      <c r="AQ385" s="634"/>
      <c r="AR385" s="606"/>
      <c r="AS385" s="394"/>
      <c r="AT385" s="393"/>
      <c r="AU385" s="395"/>
      <c r="AV385" s="278"/>
      <c r="AW385" s="278"/>
      <c r="AX385" s="278"/>
      <c r="AY385" s="278"/>
      <c r="AZ385" s="278"/>
      <c r="BA385" s="278"/>
      <c r="BB385" s="278"/>
      <c r="BC385" s="278"/>
      <c r="BD385" s="278"/>
    </row>
    <row r="386" spans="1:56" ht="33" customHeight="1">
      <c r="A386" s="869">
        <v>101</v>
      </c>
      <c r="B386" s="870" t="s">
        <v>818</v>
      </c>
      <c r="C386" s="891" t="s">
        <v>819</v>
      </c>
      <c r="D386" s="892" t="s">
        <v>820</v>
      </c>
      <c r="E386" s="873">
        <v>33.75</v>
      </c>
      <c r="F386" s="874">
        <v>222750</v>
      </c>
      <c r="G386" s="865"/>
      <c r="H386" s="865"/>
      <c r="I386" s="511"/>
      <c r="J386" s="534"/>
      <c r="K386" s="274"/>
      <c r="L386" s="508"/>
      <c r="M386" s="507"/>
      <c r="N386" s="507"/>
      <c r="O386" s="507" t="s">
        <v>482</v>
      </c>
      <c r="P386" s="286"/>
      <c r="Q386" s="274"/>
      <c r="R386" s="508"/>
      <c r="S386" s="507"/>
      <c r="T386" s="507"/>
      <c r="U386" s="507" t="s">
        <v>482</v>
      </c>
      <c r="V386" s="286"/>
      <c r="W386" s="274"/>
      <c r="X386" s="508"/>
      <c r="Y386" s="141"/>
      <c r="Z386" s="141"/>
      <c r="AA386" s="129"/>
      <c r="AB386" s="286"/>
      <c r="AC386" s="518"/>
      <c r="AD386" s="592"/>
      <c r="AE386" s="141"/>
      <c r="AF386" s="141"/>
      <c r="AG386" s="907" t="s">
        <v>31</v>
      </c>
      <c r="AH386" s="286">
        <v>1</v>
      </c>
      <c r="AI386" s="518" t="s">
        <v>17</v>
      </c>
      <c r="AJ386" s="907">
        <v>60000</v>
      </c>
      <c r="AK386" s="507"/>
      <c r="AL386" s="507"/>
      <c r="AM386" s="907" t="s">
        <v>31</v>
      </c>
      <c r="AN386" s="286">
        <v>2.2000000000000002</v>
      </c>
      <c r="AO386" s="518" t="s">
        <v>17</v>
      </c>
      <c r="AP386" s="907">
        <v>132000</v>
      </c>
      <c r="AQ386" s="634"/>
      <c r="AR386" s="606"/>
      <c r="AS386" s="394"/>
      <c r="AT386" s="393"/>
      <c r="AU386" s="395"/>
      <c r="AV386" s="278"/>
      <c r="AW386" s="278"/>
      <c r="AX386" s="278"/>
      <c r="AY386" s="278"/>
      <c r="AZ386" s="278"/>
      <c r="BA386" s="278"/>
      <c r="BB386" s="278"/>
      <c r="BC386" s="278"/>
      <c r="BD386" s="278"/>
    </row>
    <row r="387" spans="1:56" ht="33" customHeight="1">
      <c r="A387" s="869"/>
      <c r="B387" s="870"/>
      <c r="C387" s="891"/>
      <c r="D387" s="892"/>
      <c r="E387" s="873"/>
      <c r="F387" s="874"/>
      <c r="G387" s="865"/>
      <c r="H387" s="865"/>
      <c r="I387" s="511"/>
      <c r="J387" s="534"/>
      <c r="K387" s="518"/>
      <c r="L387" s="508"/>
      <c r="M387" s="507"/>
      <c r="N387" s="507"/>
      <c r="O387" s="515"/>
      <c r="P387" s="517"/>
      <c r="Q387" s="275"/>
      <c r="R387" s="336"/>
      <c r="S387" s="507"/>
      <c r="T387" s="507"/>
      <c r="U387" s="515"/>
      <c r="V387" s="521"/>
      <c r="W387" s="275"/>
      <c r="X387" s="336"/>
      <c r="Y387" s="141"/>
      <c r="Z387" s="141"/>
      <c r="AA387" s="129"/>
      <c r="AB387" s="517"/>
      <c r="AC387" s="507"/>
      <c r="AD387" s="592"/>
      <c r="AE387" s="141"/>
      <c r="AF387" s="141"/>
      <c r="AG387" s="907"/>
      <c r="AH387" s="286">
        <f>F386/E386*AH386</f>
        <v>6600</v>
      </c>
      <c r="AI387" s="507" t="s">
        <v>32</v>
      </c>
      <c r="AJ387" s="907"/>
      <c r="AK387" s="515"/>
      <c r="AL387" s="515"/>
      <c r="AM387" s="907"/>
      <c r="AN387" s="286">
        <f>F386/E386*AN386</f>
        <v>14520.000000000002</v>
      </c>
      <c r="AO387" s="507" t="s">
        <v>32</v>
      </c>
      <c r="AP387" s="907"/>
      <c r="AQ387" s="634"/>
      <c r="AR387" s="606"/>
      <c r="AS387" s="394"/>
      <c r="AT387" s="393"/>
      <c r="AU387" s="395"/>
      <c r="AV387" s="278"/>
      <c r="AW387" s="278"/>
      <c r="AX387" s="278"/>
      <c r="AY387" s="278"/>
      <c r="AZ387" s="278"/>
      <c r="BA387" s="278"/>
      <c r="BB387" s="278"/>
      <c r="BC387" s="278"/>
      <c r="BD387" s="278"/>
    </row>
    <row r="388" spans="1:56" ht="33" customHeight="1">
      <c r="A388" s="869">
        <v>102</v>
      </c>
      <c r="B388" s="870" t="s">
        <v>821</v>
      </c>
      <c r="C388" s="891" t="s">
        <v>822</v>
      </c>
      <c r="D388" s="892" t="s">
        <v>823</v>
      </c>
      <c r="E388" s="873">
        <v>9.2899999999999991</v>
      </c>
      <c r="F388" s="874">
        <v>55740</v>
      </c>
      <c r="G388" s="865"/>
      <c r="H388" s="865"/>
      <c r="I388" s="893"/>
      <c r="J388" s="534"/>
      <c r="K388" s="274"/>
      <c r="L388" s="866"/>
      <c r="M388" s="507"/>
      <c r="N388" s="507"/>
      <c r="O388" s="507" t="s">
        <v>482</v>
      </c>
      <c r="P388" s="286"/>
      <c r="Q388" s="274"/>
      <c r="R388" s="508"/>
      <c r="S388" s="141"/>
      <c r="T388" s="141"/>
      <c r="U388" s="129"/>
      <c r="V388" s="286"/>
      <c r="W388" s="518"/>
      <c r="X388" s="604"/>
      <c r="Y388" s="507"/>
      <c r="Z388" s="507"/>
      <c r="AA388" s="507" t="s">
        <v>482</v>
      </c>
      <c r="AB388" s="286"/>
      <c r="AC388" s="274"/>
      <c r="AD388" s="509"/>
      <c r="AE388" s="129"/>
      <c r="AF388" s="129"/>
      <c r="AG388" s="907" t="s">
        <v>31</v>
      </c>
      <c r="AH388" s="286">
        <v>1</v>
      </c>
      <c r="AI388" s="518" t="s">
        <v>17</v>
      </c>
      <c r="AJ388" s="907">
        <v>60000</v>
      </c>
      <c r="AK388" s="507"/>
      <c r="AL388" s="507"/>
      <c r="AM388" s="507" t="s">
        <v>482</v>
      </c>
      <c r="AN388" s="286"/>
      <c r="AO388" s="507"/>
      <c r="AP388" s="509"/>
      <c r="AQ388" s="634"/>
      <c r="AR388" s="606"/>
      <c r="AS388" s="394"/>
      <c r="AT388" s="393"/>
      <c r="AU388" s="395"/>
      <c r="AV388" s="278"/>
      <c r="AW388" s="278"/>
      <c r="AX388" s="278"/>
      <c r="AY388" s="278"/>
      <c r="AZ388" s="278"/>
      <c r="BA388" s="278"/>
      <c r="BB388" s="278"/>
      <c r="BC388" s="278"/>
      <c r="BD388" s="278"/>
    </row>
    <row r="389" spans="1:56" ht="33" customHeight="1">
      <c r="A389" s="869"/>
      <c r="B389" s="870"/>
      <c r="C389" s="891"/>
      <c r="D389" s="892"/>
      <c r="E389" s="873"/>
      <c r="F389" s="874"/>
      <c r="G389" s="865"/>
      <c r="H389" s="865"/>
      <c r="I389" s="893"/>
      <c r="J389" s="534"/>
      <c r="K389" s="518"/>
      <c r="L389" s="866"/>
      <c r="M389" s="507"/>
      <c r="N389" s="507"/>
      <c r="O389" s="515"/>
      <c r="P389" s="517"/>
      <c r="Q389" s="275"/>
      <c r="R389" s="336"/>
      <c r="S389" s="141"/>
      <c r="T389" s="141"/>
      <c r="U389" s="129"/>
      <c r="V389" s="521"/>
      <c r="W389" s="507"/>
      <c r="X389" s="604"/>
      <c r="Y389" s="515"/>
      <c r="Z389" s="515"/>
      <c r="AA389" s="515"/>
      <c r="AB389" s="517"/>
      <c r="AC389" s="275"/>
      <c r="AD389" s="623"/>
      <c r="AE389" s="129"/>
      <c r="AF389" s="129"/>
      <c r="AG389" s="907"/>
      <c r="AH389" s="286">
        <f>F388/E388*AH388</f>
        <v>6000.0000000000009</v>
      </c>
      <c r="AI389" s="507" t="s">
        <v>32</v>
      </c>
      <c r="AJ389" s="907"/>
      <c r="AK389" s="515"/>
      <c r="AL389" s="515"/>
      <c r="AM389" s="515"/>
      <c r="AN389" s="517"/>
      <c r="AO389" s="515"/>
      <c r="AP389" s="623"/>
      <c r="AQ389" s="634"/>
      <c r="AR389" s="606"/>
      <c r="AS389" s="394"/>
      <c r="AT389" s="393"/>
      <c r="AU389" s="395"/>
      <c r="AV389" s="278"/>
      <c r="AW389" s="278"/>
      <c r="AX389" s="278"/>
      <c r="AY389" s="278"/>
      <c r="AZ389" s="278"/>
      <c r="BA389" s="278"/>
      <c r="BB389" s="278"/>
      <c r="BC389" s="278"/>
      <c r="BD389" s="278"/>
    </row>
    <row r="390" spans="1:56" ht="69.75" customHeight="1">
      <c r="A390" s="869">
        <v>103</v>
      </c>
      <c r="B390" s="870" t="s">
        <v>824</v>
      </c>
      <c r="C390" s="891" t="s">
        <v>825</v>
      </c>
      <c r="D390" s="892" t="s">
        <v>826</v>
      </c>
      <c r="E390" s="873">
        <v>4.7</v>
      </c>
      <c r="F390" s="874">
        <v>31067</v>
      </c>
      <c r="G390" s="507"/>
      <c r="H390" s="507"/>
      <c r="I390" s="511"/>
      <c r="J390" s="534"/>
      <c r="K390" s="274"/>
      <c r="L390" s="508"/>
      <c r="M390" s="865"/>
      <c r="N390" s="865"/>
      <c r="O390" s="865"/>
      <c r="P390" s="286"/>
      <c r="Q390" s="518"/>
      <c r="R390" s="866"/>
      <c r="S390" s="865"/>
      <c r="T390" s="865"/>
      <c r="U390" s="865"/>
      <c r="V390" s="286"/>
      <c r="W390" s="518"/>
      <c r="X390" s="336"/>
      <c r="Y390" s="507"/>
      <c r="Z390" s="507"/>
      <c r="AA390" s="507" t="s">
        <v>482</v>
      </c>
      <c r="AB390" s="286"/>
      <c r="AC390" s="274"/>
      <c r="AD390" s="509"/>
      <c r="AE390" s="507"/>
      <c r="AF390" s="507"/>
      <c r="AG390" s="907" t="s">
        <v>31</v>
      </c>
      <c r="AH390" s="286">
        <v>1</v>
      </c>
      <c r="AI390" s="518" t="s">
        <v>17</v>
      </c>
      <c r="AJ390" s="907">
        <v>60000</v>
      </c>
      <c r="AK390" s="507"/>
      <c r="AL390" s="507"/>
      <c r="AM390" s="507" t="s">
        <v>482</v>
      </c>
      <c r="AN390" s="286"/>
      <c r="AO390" s="507"/>
      <c r="AP390" s="509"/>
      <c r="AQ390" s="634"/>
      <c r="AR390" s="606"/>
      <c r="AS390" s="394"/>
      <c r="AT390" s="393"/>
      <c r="AU390" s="395"/>
      <c r="AV390" s="278"/>
      <c r="AW390" s="278"/>
      <c r="AX390" s="278"/>
      <c r="AY390" s="278"/>
      <c r="AZ390" s="278"/>
      <c r="BA390" s="278"/>
      <c r="BB390" s="278"/>
      <c r="BC390" s="278"/>
      <c r="BD390" s="278"/>
    </row>
    <row r="391" spans="1:56" ht="69.75" customHeight="1">
      <c r="A391" s="869"/>
      <c r="B391" s="870"/>
      <c r="C391" s="891"/>
      <c r="D391" s="892"/>
      <c r="E391" s="873"/>
      <c r="F391" s="874"/>
      <c r="G391" s="507"/>
      <c r="H391" s="507"/>
      <c r="I391" s="511"/>
      <c r="J391" s="534"/>
      <c r="K391" s="518"/>
      <c r="L391" s="508"/>
      <c r="M391" s="865"/>
      <c r="N391" s="865"/>
      <c r="O391" s="865"/>
      <c r="P391" s="287"/>
      <c r="Q391" s="507"/>
      <c r="R391" s="866"/>
      <c r="S391" s="865"/>
      <c r="T391" s="865"/>
      <c r="U391" s="865"/>
      <c r="V391" s="287"/>
      <c r="W391" s="507"/>
      <c r="X391" s="605"/>
      <c r="Y391" s="515"/>
      <c r="Z391" s="515"/>
      <c r="AA391" s="515"/>
      <c r="AB391" s="517"/>
      <c r="AC391" s="275"/>
      <c r="AD391" s="623"/>
      <c r="AE391" s="507"/>
      <c r="AF391" s="507"/>
      <c r="AG391" s="907"/>
      <c r="AH391" s="286">
        <f>F390/E390*AH390</f>
        <v>6610</v>
      </c>
      <c r="AI391" s="507" t="s">
        <v>32</v>
      </c>
      <c r="AJ391" s="907"/>
      <c r="AK391" s="515"/>
      <c r="AL391" s="515"/>
      <c r="AM391" s="515"/>
      <c r="AN391" s="517"/>
      <c r="AO391" s="515"/>
      <c r="AP391" s="623"/>
      <c r="AQ391" s="634"/>
      <c r="AR391" s="606"/>
      <c r="AS391" s="394"/>
      <c r="AT391" s="393"/>
      <c r="AU391" s="395"/>
      <c r="AV391" s="278"/>
      <c r="AW391" s="278"/>
      <c r="AX391" s="278"/>
      <c r="AY391" s="278"/>
      <c r="AZ391" s="278"/>
      <c r="BA391" s="278"/>
      <c r="BB391" s="278"/>
      <c r="BC391" s="278"/>
      <c r="BD391" s="278"/>
    </row>
    <row r="392" spans="1:56" ht="33" customHeight="1">
      <c r="A392" s="869">
        <v>104</v>
      </c>
      <c r="B392" s="870" t="s">
        <v>827</v>
      </c>
      <c r="C392" s="891" t="s">
        <v>828</v>
      </c>
      <c r="D392" s="892" t="s">
        <v>829</v>
      </c>
      <c r="E392" s="873">
        <v>15.66</v>
      </c>
      <c r="F392" s="874">
        <v>81275.400000000009</v>
      </c>
      <c r="G392" s="507"/>
      <c r="H392" s="507"/>
      <c r="I392" s="511"/>
      <c r="J392" s="534"/>
      <c r="K392" s="274"/>
      <c r="L392" s="508"/>
      <c r="M392" s="865"/>
      <c r="N392" s="865"/>
      <c r="O392" s="865"/>
      <c r="P392" s="286"/>
      <c r="Q392" s="518"/>
      <c r="R392" s="866"/>
      <c r="S392" s="865"/>
      <c r="T392" s="865"/>
      <c r="U392" s="865"/>
      <c r="V392" s="286"/>
      <c r="W392" s="518"/>
      <c r="X392" s="336"/>
      <c r="Y392" s="507"/>
      <c r="Z392" s="507"/>
      <c r="AA392" s="507" t="s">
        <v>482</v>
      </c>
      <c r="AB392" s="286"/>
      <c r="AC392" s="274"/>
      <c r="AD392" s="509"/>
      <c r="AE392" s="507"/>
      <c r="AF392" s="507"/>
      <c r="AG392" s="907" t="s">
        <v>31</v>
      </c>
      <c r="AH392" s="286">
        <v>2</v>
      </c>
      <c r="AI392" s="518" t="s">
        <v>17</v>
      </c>
      <c r="AJ392" s="907">
        <v>120000</v>
      </c>
      <c r="AK392" s="507"/>
      <c r="AL392" s="507"/>
      <c r="AM392" s="507" t="s">
        <v>482</v>
      </c>
      <c r="AN392" s="286"/>
      <c r="AO392" s="507"/>
      <c r="AP392" s="509"/>
      <c r="AQ392" s="634"/>
      <c r="AR392" s="606"/>
      <c r="AS392" s="394"/>
      <c r="AT392" s="393"/>
      <c r="AU392" s="395"/>
      <c r="AV392" s="278"/>
      <c r="AW392" s="278"/>
      <c r="AX392" s="278"/>
      <c r="AY392" s="278"/>
      <c r="AZ392" s="278"/>
      <c r="BA392" s="278"/>
      <c r="BB392" s="278"/>
      <c r="BC392" s="278"/>
      <c r="BD392" s="278"/>
    </row>
    <row r="393" spans="1:56" ht="33" customHeight="1">
      <c r="A393" s="869"/>
      <c r="B393" s="870"/>
      <c r="C393" s="891"/>
      <c r="D393" s="892"/>
      <c r="E393" s="873"/>
      <c r="F393" s="874"/>
      <c r="G393" s="507"/>
      <c r="H393" s="507"/>
      <c r="I393" s="511"/>
      <c r="J393" s="534"/>
      <c r="K393" s="274"/>
      <c r="L393" s="508"/>
      <c r="M393" s="865"/>
      <c r="N393" s="865"/>
      <c r="O393" s="865"/>
      <c r="P393" s="287"/>
      <c r="Q393" s="507"/>
      <c r="R393" s="866"/>
      <c r="S393" s="865"/>
      <c r="T393" s="865"/>
      <c r="U393" s="865"/>
      <c r="V393" s="287"/>
      <c r="W393" s="507"/>
      <c r="X393" s="336"/>
      <c r="Y393" s="507"/>
      <c r="Z393" s="507"/>
      <c r="AA393" s="507"/>
      <c r="AB393" s="286"/>
      <c r="AC393" s="274"/>
      <c r="AD393" s="509"/>
      <c r="AE393" s="507"/>
      <c r="AF393" s="507"/>
      <c r="AG393" s="907"/>
      <c r="AH393" s="286">
        <f>F392/E392*AH392</f>
        <v>10380.000000000002</v>
      </c>
      <c r="AI393" s="507" t="s">
        <v>32</v>
      </c>
      <c r="AJ393" s="907"/>
      <c r="AK393" s="507"/>
      <c r="AL393" s="507"/>
      <c r="AM393" s="507"/>
      <c r="AN393" s="286"/>
      <c r="AO393" s="507"/>
      <c r="AP393" s="509"/>
      <c r="AQ393" s="634"/>
      <c r="AR393" s="606"/>
      <c r="AS393" s="394"/>
      <c r="AT393" s="393"/>
      <c r="AU393" s="395"/>
      <c r="AV393" s="278"/>
      <c r="AW393" s="278"/>
      <c r="AX393" s="278"/>
      <c r="AY393" s="278"/>
      <c r="AZ393" s="278"/>
      <c r="BA393" s="278"/>
      <c r="BB393" s="278"/>
      <c r="BC393" s="278"/>
      <c r="BD393" s="278"/>
    </row>
    <row r="394" spans="1:56" ht="33" customHeight="1">
      <c r="A394" s="869">
        <v>105</v>
      </c>
      <c r="B394" s="870" t="s">
        <v>795</v>
      </c>
      <c r="C394" s="891" t="s">
        <v>830</v>
      </c>
      <c r="D394" s="892" t="s">
        <v>797</v>
      </c>
      <c r="E394" s="873">
        <v>51.4</v>
      </c>
      <c r="F394" s="874">
        <v>359800</v>
      </c>
      <c r="G394" s="507"/>
      <c r="H394" s="507"/>
      <c r="I394" s="511"/>
      <c r="J394" s="534"/>
      <c r="K394" s="274"/>
      <c r="L394" s="508"/>
      <c r="M394" s="865" t="s">
        <v>60</v>
      </c>
      <c r="N394" s="865" t="s">
        <v>489</v>
      </c>
      <c r="O394" s="893" t="s">
        <v>114</v>
      </c>
      <c r="P394" s="286">
        <v>10</v>
      </c>
      <c r="Q394" s="518" t="s">
        <v>17</v>
      </c>
      <c r="R394" s="866">
        <v>160000</v>
      </c>
      <c r="S394" s="507"/>
      <c r="T394" s="507"/>
      <c r="U394" s="507" t="s">
        <v>482</v>
      </c>
      <c r="V394" s="286"/>
      <c r="W394" s="274"/>
      <c r="X394" s="508"/>
      <c r="Y394" s="507"/>
      <c r="Z394" s="507"/>
      <c r="AA394" s="507" t="s">
        <v>482</v>
      </c>
      <c r="AB394" s="286"/>
      <c r="AC394" s="274"/>
      <c r="AD394" s="509"/>
      <c r="AE394" s="507"/>
      <c r="AF394" s="507"/>
      <c r="AG394" s="507"/>
      <c r="AH394" s="286"/>
      <c r="AI394" s="507"/>
      <c r="AJ394" s="509"/>
      <c r="AK394" s="507"/>
      <c r="AL394" s="507"/>
      <c r="AM394" s="907" t="s">
        <v>31</v>
      </c>
      <c r="AN394" s="286">
        <v>3</v>
      </c>
      <c r="AO394" s="518" t="s">
        <v>17</v>
      </c>
      <c r="AP394" s="907">
        <v>180000</v>
      </c>
      <c r="AQ394" s="634"/>
      <c r="AR394" s="606"/>
      <c r="AS394" s="394"/>
      <c r="AT394" s="393"/>
      <c r="AU394" s="395"/>
      <c r="AV394" s="278"/>
      <c r="AW394" s="278"/>
      <c r="AX394" s="278"/>
      <c r="AY394" s="278"/>
      <c r="AZ394" s="278"/>
      <c r="BA394" s="278"/>
      <c r="BB394" s="278"/>
      <c r="BC394" s="278"/>
      <c r="BD394" s="278"/>
    </row>
    <row r="395" spans="1:56" ht="33" customHeight="1">
      <c r="A395" s="869"/>
      <c r="B395" s="870"/>
      <c r="C395" s="891"/>
      <c r="D395" s="892"/>
      <c r="E395" s="873"/>
      <c r="F395" s="874"/>
      <c r="G395" s="507"/>
      <c r="H395" s="507"/>
      <c r="I395" s="511"/>
      <c r="J395" s="534"/>
      <c r="K395" s="274"/>
      <c r="L395" s="508"/>
      <c r="M395" s="865"/>
      <c r="N395" s="865"/>
      <c r="O395" s="916"/>
      <c r="P395" s="287">
        <f>P394*F394/E394</f>
        <v>70000</v>
      </c>
      <c r="Q395" s="507" t="s">
        <v>32</v>
      </c>
      <c r="R395" s="866"/>
      <c r="S395" s="507"/>
      <c r="T395" s="507"/>
      <c r="U395" s="507"/>
      <c r="V395" s="286"/>
      <c r="W395" s="274"/>
      <c r="X395" s="508"/>
      <c r="Y395" s="507"/>
      <c r="Z395" s="507"/>
      <c r="AA395" s="507"/>
      <c r="AB395" s="286"/>
      <c r="AC395" s="274"/>
      <c r="AD395" s="509"/>
      <c r="AE395" s="507"/>
      <c r="AF395" s="507"/>
      <c r="AG395" s="507"/>
      <c r="AH395" s="286"/>
      <c r="AI395" s="507"/>
      <c r="AJ395" s="509"/>
      <c r="AK395" s="507"/>
      <c r="AL395" s="507"/>
      <c r="AM395" s="907"/>
      <c r="AN395" s="286">
        <f>F394/E394*AN394</f>
        <v>21000</v>
      </c>
      <c r="AO395" s="507" t="s">
        <v>32</v>
      </c>
      <c r="AP395" s="907"/>
      <c r="AQ395" s="634"/>
      <c r="AR395" s="606"/>
      <c r="AS395" s="394"/>
      <c r="AT395" s="393"/>
      <c r="AU395" s="395"/>
      <c r="AV395" s="278"/>
      <c r="AW395" s="278"/>
      <c r="AX395" s="278"/>
      <c r="AY395" s="278"/>
      <c r="AZ395" s="278"/>
      <c r="BA395" s="278"/>
      <c r="BB395" s="278"/>
      <c r="BC395" s="278"/>
      <c r="BD395" s="278"/>
    </row>
    <row r="396" spans="1:56" ht="33" customHeight="1">
      <c r="A396" s="869">
        <v>106</v>
      </c>
      <c r="B396" s="870">
        <v>805620</v>
      </c>
      <c r="C396" s="891" t="s">
        <v>831</v>
      </c>
      <c r="D396" s="892" t="s">
        <v>832</v>
      </c>
      <c r="E396" s="873">
        <v>22.1</v>
      </c>
      <c r="F396" s="874">
        <v>132600</v>
      </c>
      <c r="G396" s="507"/>
      <c r="H396" s="507"/>
      <c r="I396" s="511"/>
      <c r="J396" s="534"/>
      <c r="K396" s="274"/>
      <c r="L396" s="508"/>
      <c r="M396" s="865"/>
      <c r="N396" s="865"/>
      <c r="O396" s="865"/>
      <c r="P396" s="286"/>
      <c r="Q396" s="518"/>
      <c r="R396" s="866"/>
      <c r="S396" s="865" t="s">
        <v>60</v>
      </c>
      <c r="T396" s="865" t="s">
        <v>496</v>
      </c>
      <c r="U396" s="893" t="s">
        <v>114</v>
      </c>
      <c r="V396" s="286">
        <v>5</v>
      </c>
      <c r="W396" s="518" t="s">
        <v>17</v>
      </c>
      <c r="X396" s="866">
        <v>50000</v>
      </c>
      <c r="Y396" s="507"/>
      <c r="Z396" s="507"/>
      <c r="AA396" s="507"/>
      <c r="AB396" s="286"/>
      <c r="AC396" s="274"/>
      <c r="AD396" s="509"/>
      <c r="AE396" s="507"/>
      <c r="AF396" s="507"/>
      <c r="AG396" s="507"/>
      <c r="AH396" s="286"/>
      <c r="AI396" s="507"/>
      <c r="AJ396" s="509"/>
      <c r="AK396" s="507"/>
      <c r="AL396" s="507"/>
      <c r="AM396" s="509"/>
      <c r="AN396" s="286"/>
      <c r="AO396" s="507"/>
      <c r="AP396" s="509"/>
      <c r="AQ396" s="634"/>
      <c r="AR396" s="606"/>
      <c r="AS396" s="394"/>
      <c r="AT396" s="393"/>
      <c r="AU396" s="395"/>
      <c r="AV396" s="278"/>
      <c r="AW396" s="278"/>
      <c r="AX396" s="278"/>
      <c r="AY396" s="278"/>
      <c r="AZ396" s="278"/>
      <c r="BA396" s="278"/>
      <c r="BB396" s="278"/>
      <c r="BC396" s="278"/>
      <c r="BD396" s="278"/>
    </row>
    <row r="397" spans="1:56" ht="33" customHeight="1">
      <c r="A397" s="869"/>
      <c r="B397" s="870"/>
      <c r="C397" s="891"/>
      <c r="D397" s="892"/>
      <c r="E397" s="873"/>
      <c r="F397" s="874"/>
      <c r="G397" s="507"/>
      <c r="H397" s="507"/>
      <c r="I397" s="511"/>
      <c r="J397" s="534"/>
      <c r="K397" s="274"/>
      <c r="L397" s="508"/>
      <c r="M397" s="865"/>
      <c r="N397" s="865"/>
      <c r="O397" s="865"/>
      <c r="P397" s="287"/>
      <c r="Q397" s="507"/>
      <c r="R397" s="866"/>
      <c r="S397" s="865"/>
      <c r="T397" s="865"/>
      <c r="U397" s="916"/>
      <c r="V397" s="287">
        <f>V396*F396/E396</f>
        <v>29999.999999999996</v>
      </c>
      <c r="W397" s="507" t="s">
        <v>32</v>
      </c>
      <c r="X397" s="866"/>
      <c r="Y397" s="507"/>
      <c r="Z397" s="507"/>
      <c r="AA397" s="507"/>
      <c r="AB397" s="286"/>
      <c r="AC397" s="274"/>
      <c r="AD397" s="509"/>
      <c r="AE397" s="507"/>
      <c r="AF397" s="507"/>
      <c r="AG397" s="507"/>
      <c r="AH397" s="286"/>
      <c r="AI397" s="507"/>
      <c r="AJ397" s="509"/>
      <c r="AK397" s="507"/>
      <c r="AL397" s="507"/>
      <c r="AM397" s="509"/>
      <c r="AN397" s="286"/>
      <c r="AO397" s="507"/>
      <c r="AP397" s="509"/>
      <c r="AQ397" s="634"/>
      <c r="AR397" s="606"/>
      <c r="AS397" s="394"/>
      <c r="AT397" s="393"/>
      <c r="AU397" s="395"/>
      <c r="AV397" s="278"/>
      <c r="AW397" s="278"/>
      <c r="AX397" s="278"/>
      <c r="AY397" s="278"/>
      <c r="AZ397" s="278"/>
      <c r="BA397" s="278"/>
      <c r="BB397" s="278"/>
      <c r="BC397" s="278"/>
      <c r="BD397" s="278"/>
    </row>
    <row r="398" spans="1:56" ht="33" customHeight="1">
      <c r="A398" s="869">
        <v>107</v>
      </c>
      <c r="B398" s="870">
        <v>805685</v>
      </c>
      <c r="C398" s="891" t="s">
        <v>833</v>
      </c>
      <c r="D398" s="892" t="s">
        <v>834</v>
      </c>
      <c r="E398" s="873">
        <v>8</v>
      </c>
      <c r="F398" s="874">
        <v>34800</v>
      </c>
      <c r="G398" s="507"/>
      <c r="H398" s="507"/>
      <c r="I398" s="511"/>
      <c r="J398" s="534"/>
      <c r="K398" s="274"/>
      <c r="L398" s="508"/>
      <c r="M398" s="865"/>
      <c r="N398" s="865"/>
      <c r="O398" s="865"/>
      <c r="P398" s="286"/>
      <c r="Q398" s="518"/>
      <c r="R398" s="866"/>
      <c r="S398" s="865" t="s">
        <v>60</v>
      </c>
      <c r="T398" s="865" t="s">
        <v>835</v>
      </c>
      <c r="U398" s="893" t="s">
        <v>114</v>
      </c>
      <c r="V398" s="286">
        <v>5.8</v>
      </c>
      <c r="W398" s="518" t="s">
        <v>17</v>
      </c>
      <c r="X398" s="866">
        <v>58000</v>
      </c>
      <c r="Y398" s="507"/>
      <c r="Z398" s="507"/>
      <c r="AA398" s="507"/>
      <c r="AB398" s="286"/>
      <c r="AC398" s="274"/>
      <c r="AD398" s="509"/>
      <c r="AE398" s="507"/>
      <c r="AF398" s="507"/>
      <c r="AG398" s="507"/>
      <c r="AH398" s="286"/>
      <c r="AI398" s="507"/>
      <c r="AJ398" s="509"/>
      <c r="AK398" s="507"/>
      <c r="AL398" s="507"/>
      <c r="AM398" s="509"/>
      <c r="AN398" s="286"/>
      <c r="AO398" s="507"/>
      <c r="AP398" s="509"/>
      <c r="AQ398" s="634"/>
      <c r="AR398" s="606"/>
      <c r="AS398" s="394"/>
      <c r="AT398" s="393"/>
      <c r="AU398" s="395"/>
      <c r="AV398" s="278"/>
      <c r="AW398" s="278"/>
      <c r="AX398" s="278"/>
      <c r="AY398" s="278"/>
      <c r="AZ398" s="278"/>
      <c r="BA398" s="278"/>
      <c r="BB398" s="278"/>
      <c r="BC398" s="278"/>
      <c r="BD398" s="278"/>
    </row>
    <row r="399" spans="1:56" ht="33" customHeight="1">
      <c r="A399" s="869"/>
      <c r="B399" s="870"/>
      <c r="C399" s="891"/>
      <c r="D399" s="892"/>
      <c r="E399" s="873"/>
      <c r="F399" s="874"/>
      <c r="G399" s="507"/>
      <c r="H399" s="507"/>
      <c r="I399" s="511"/>
      <c r="J399" s="534"/>
      <c r="K399" s="274"/>
      <c r="L399" s="508"/>
      <c r="M399" s="865"/>
      <c r="N399" s="865"/>
      <c r="O399" s="865"/>
      <c r="P399" s="287"/>
      <c r="Q399" s="507"/>
      <c r="R399" s="866"/>
      <c r="S399" s="865"/>
      <c r="T399" s="865"/>
      <c r="U399" s="916"/>
      <c r="V399" s="287">
        <f>V398*F398/E398</f>
        <v>25230</v>
      </c>
      <c r="W399" s="507" t="s">
        <v>32</v>
      </c>
      <c r="X399" s="866"/>
      <c r="Y399" s="507"/>
      <c r="Z399" s="507"/>
      <c r="AA399" s="507"/>
      <c r="AB399" s="286"/>
      <c r="AC399" s="274"/>
      <c r="AD399" s="509"/>
      <c r="AE399" s="507"/>
      <c r="AF399" s="507"/>
      <c r="AG399" s="507"/>
      <c r="AH399" s="286"/>
      <c r="AI399" s="507"/>
      <c r="AJ399" s="509"/>
      <c r="AK399" s="507"/>
      <c r="AL399" s="507"/>
      <c r="AM399" s="509"/>
      <c r="AN399" s="286"/>
      <c r="AO399" s="507"/>
      <c r="AP399" s="509"/>
      <c r="AQ399" s="634"/>
      <c r="AR399" s="606"/>
      <c r="AS399" s="394"/>
      <c r="AT399" s="393"/>
      <c r="AU399" s="395"/>
      <c r="AV399" s="278"/>
      <c r="AW399" s="278"/>
      <c r="AX399" s="278"/>
      <c r="AY399" s="278"/>
      <c r="AZ399" s="278"/>
      <c r="BA399" s="278"/>
      <c r="BB399" s="278"/>
      <c r="BC399" s="278"/>
      <c r="BD399" s="278"/>
    </row>
    <row r="400" spans="1:56" ht="21.75" customHeight="1">
      <c r="A400" s="869">
        <v>108</v>
      </c>
      <c r="B400" s="870" t="s">
        <v>836</v>
      </c>
      <c r="C400" s="891" t="s">
        <v>837</v>
      </c>
      <c r="D400" s="892" t="s">
        <v>838</v>
      </c>
      <c r="E400" s="873">
        <v>15</v>
      </c>
      <c r="F400" s="874">
        <v>90000</v>
      </c>
      <c r="G400" s="865" t="s">
        <v>839</v>
      </c>
      <c r="H400" s="865" t="s">
        <v>483</v>
      </c>
      <c r="I400" s="893" t="s">
        <v>114</v>
      </c>
      <c r="J400" s="507">
        <v>1.5840000000000001</v>
      </c>
      <c r="K400" s="518" t="s">
        <v>17</v>
      </c>
      <c r="L400" s="866">
        <v>16098.199199999999</v>
      </c>
      <c r="M400" s="153"/>
      <c r="N400" s="152"/>
      <c r="O400" s="152"/>
      <c r="P400" s="299"/>
      <c r="Q400" s="152"/>
      <c r="R400" s="629"/>
      <c r="S400" s="865" t="s">
        <v>483</v>
      </c>
      <c r="T400" s="865" t="s">
        <v>636</v>
      </c>
      <c r="U400" s="893" t="s">
        <v>114</v>
      </c>
      <c r="V400" s="286">
        <v>12</v>
      </c>
      <c r="W400" s="518" t="s">
        <v>17</v>
      </c>
      <c r="X400" s="866">
        <v>180000</v>
      </c>
      <c r="Y400" s="507"/>
      <c r="Z400" s="507"/>
      <c r="AA400" s="507"/>
      <c r="AB400" s="286"/>
      <c r="AC400" s="274"/>
      <c r="AD400" s="509"/>
      <c r="AE400" s="507"/>
      <c r="AF400" s="507"/>
      <c r="AG400" s="507"/>
      <c r="AH400" s="286"/>
      <c r="AI400" s="507"/>
      <c r="AJ400" s="509"/>
      <c r="AK400" s="507"/>
      <c r="AL400" s="507"/>
      <c r="AM400" s="509"/>
      <c r="AN400" s="286"/>
      <c r="AO400" s="507"/>
      <c r="AP400" s="509"/>
      <c r="AQ400" s="634"/>
      <c r="AR400" s="606"/>
      <c r="AS400" s="394"/>
      <c r="AT400" s="393"/>
      <c r="AU400" s="395"/>
      <c r="AV400" s="278"/>
      <c r="AW400" s="278"/>
      <c r="AX400" s="278"/>
      <c r="AY400" s="278"/>
      <c r="AZ400" s="278"/>
      <c r="BA400" s="278"/>
      <c r="BB400" s="278"/>
      <c r="BC400" s="278"/>
      <c r="BD400" s="278"/>
    </row>
    <row r="401" spans="1:56" ht="21.75" customHeight="1">
      <c r="A401" s="869"/>
      <c r="B401" s="870"/>
      <c r="C401" s="891"/>
      <c r="D401" s="892"/>
      <c r="E401" s="873"/>
      <c r="F401" s="874"/>
      <c r="G401" s="865"/>
      <c r="H401" s="865"/>
      <c r="I401" s="916"/>
      <c r="J401" s="274">
        <f>J400/E400*F400</f>
        <v>9504</v>
      </c>
      <c r="K401" s="507" t="s">
        <v>32</v>
      </c>
      <c r="L401" s="866"/>
      <c r="M401" s="153"/>
      <c r="N401" s="152"/>
      <c r="O401" s="152"/>
      <c r="P401" s="299"/>
      <c r="Q401" s="152"/>
      <c r="R401" s="629"/>
      <c r="S401" s="865"/>
      <c r="T401" s="865"/>
      <c r="U401" s="916"/>
      <c r="V401" s="287">
        <f>V400*F400/E400</f>
        <v>72000</v>
      </c>
      <c r="W401" s="507" t="s">
        <v>32</v>
      </c>
      <c r="X401" s="866"/>
      <c r="Y401" s="507"/>
      <c r="Z401" s="507"/>
      <c r="AA401" s="507"/>
      <c r="AB401" s="286"/>
      <c r="AC401" s="274"/>
      <c r="AD401" s="509"/>
      <c r="AE401" s="507"/>
      <c r="AF401" s="507"/>
      <c r="AG401" s="507"/>
      <c r="AH401" s="286"/>
      <c r="AI401" s="507"/>
      <c r="AJ401" s="509"/>
      <c r="AK401" s="507"/>
      <c r="AL401" s="507"/>
      <c r="AM401" s="509"/>
      <c r="AN401" s="286"/>
      <c r="AO401" s="507"/>
      <c r="AP401" s="509"/>
      <c r="AQ401" s="634"/>
      <c r="AR401" s="606"/>
      <c r="AS401" s="394"/>
      <c r="AT401" s="393"/>
      <c r="AU401" s="395"/>
      <c r="AV401" s="278"/>
      <c r="AW401" s="278"/>
      <c r="AX401" s="278"/>
      <c r="AY401" s="278"/>
      <c r="AZ401" s="278"/>
      <c r="BA401" s="278"/>
      <c r="BB401" s="278"/>
      <c r="BC401" s="278"/>
      <c r="BD401" s="278"/>
    </row>
    <row r="402" spans="1:56" ht="33" customHeight="1">
      <c r="A402" s="869">
        <v>109</v>
      </c>
      <c r="B402" s="870">
        <v>805599</v>
      </c>
      <c r="C402" s="891" t="s">
        <v>840</v>
      </c>
      <c r="D402" s="892" t="s">
        <v>841</v>
      </c>
      <c r="E402" s="873">
        <v>16</v>
      </c>
      <c r="F402" s="874">
        <v>104000</v>
      </c>
      <c r="G402" s="507"/>
      <c r="H402" s="507"/>
      <c r="I402" s="511"/>
      <c r="J402" s="274"/>
      <c r="K402" s="507"/>
      <c r="L402" s="508"/>
      <c r="M402" s="865"/>
      <c r="N402" s="865"/>
      <c r="O402" s="865"/>
      <c r="P402" s="286"/>
      <c r="Q402" s="518"/>
      <c r="R402" s="866"/>
      <c r="S402" s="865" t="s">
        <v>60</v>
      </c>
      <c r="T402" s="865" t="s">
        <v>842</v>
      </c>
      <c r="U402" s="893" t="s">
        <v>114</v>
      </c>
      <c r="V402" s="286">
        <v>16</v>
      </c>
      <c r="W402" s="518" t="s">
        <v>17</v>
      </c>
      <c r="X402" s="866">
        <f>132000/11*V402</f>
        <v>192000</v>
      </c>
      <c r="Y402" s="507"/>
      <c r="Z402" s="507"/>
      <c r="AA402" s="507"/>
      <c r="AB402" s="286"/>
      <c r="AC402" s="274"/>
      <c r="AD402" s="509"/>
      <c r="AE402" s="507"/>
      <c r="AF402" s="507"/>
      <c r="AG402" s="507"/>
      <c r="AH402" s="286"/>
      <c r="AI402" s="507"/>
      <c r="AJ402" s="509"/>
      <c r="AK402" s="507"/>
      <c r="AL402" s="507"/>
      <c r="AM402" s="509"/>
      <c r="AN402" s="286"/>
      <c r="AO402" s="507"/>
      <c r="AP402" s="509"/>
      <c r="AQ402" s="634"/>
      <c r="AR402" s="606"/>
      <c r="AS402" s="394"/>
      <c r="AT402" s="393"/>
      <c r="AU402" s="395"/>
      <c r="AV402" s="278"/>
      <c r="AW402" s="278"/>
      <c r="AX402" s="278"/>
      <c r="AY402" s="278"/>
      <c r="AZ402" s="278"/>
      <c r="BA402" s="278"/>
      <c r="BB402" s="278"/>
      <c r="BC402" s="278"/>
      <c r="BD402" s="278"/>
    </row>
    <row r="403" spans="1:56" ht="33" customHeight="1">
      <c r="A403" s="869"/>
      <c r="B403" s="870"/>
      <c r="C403" s="891"/>
      <c r="D403" s="892"/>
      <c r="E403" s="873"/>
      <c r="F403" s="874"/>
      <c r="G403" s="507"/>
      <c r="H403" s="507"/>
      <c r="I403" s="511"/>
      <c r="J403" s="274"/>
      <c r="K403" s="507"/>
      <c r="L403" s="508"/>
      <c r="M403" s="865"/>
      <c r="N403" s="865"/>
      <c r="O403" s="865"/>
      <c r="P403" s="287"/>
      <c r="Q403" s="507"/>
      <c r="R403" s="866"/>
      <c r="S403" s="865"/>
      <c r="T403" s="865"/>
      <c r="U403" s="916"/>
      <c r="V403" s="287">
        <f>V402*F402/E402</f>
        <v>104000</v>
      </c>
      <c r="W403" s="507" t="s">
        <v>32</v>
      </c>
      <c r="X403" s="866"/>
      <c r="Y403" s="507"/>
      <c r="Z403" s="507"/>
      <c r="AA403" s="507"/>
      <c r="AB403" s="286"/>
      <c r="AC403" s="274"/>
      <c r="AD403" s="509"/>
      <c r="AE403" s="507"/>
      <c r="AF403" s="507"/>
      <c r="AG403" s="507"/>
      <c r="AH403" s="286"/>
      <c r="AI403" s="507"/>
      <c r="AJ403" s="509"/>
      <c r="AK403" s="507"/>
      <c r="AL403" s="507"/>
      <c r="AM403" s="509"/>
      <c r="AN403" s="286"/>
      <c r="AO403" s="507"/>
      <c r="AP403" s="509"/>
      <c r="AQ403" s="634"/>
      <c r="AR403" s="606"/>
      <c r="AS403" s="394"/>
      <c r="AT403" s="393"/>
      <c r="AU403" s="395"/>
      <c r="AV403" s="278"/>
      <c r="AW403" s="278"/>
      <c r="AX403" s="278"/>
      <c r="AY403" s="278"/>
      <c r="AZ403" s="278"/>
      <c r="BA403" s="278"/>
      <c r="BB403" s="278"/>
      <c r="BC403" s="278"/>
      <c r="BD403" s="278"/>
    </row>
    <row r="404" spans="1:56" ht="45.75" customHeight="1">
      <c r="A404" s="869">
        <v>110</v>
      </c>
      <c r="B404" s="870" t="s">
        <v>843</v>
      </c>
      <c r="C404" s="891" t="s">
        <v>844</v>
      </c>
      <c r="D404" s="892" t="s">
        <v>845</v>
      </c>
      <c r="E404" s="873">
        <v>23.731999999999999</v>
      </c>
      <c r="F404" s="874">
        <v>142392</v>
      </c>
      <c r="G404" s="507"/>
      <c r="H404" s="507"/>
      <c r="I404" s="511"/>
      <c r="J404" s="274"/>
      <c r="K404" s="507"/>
      <c r="L404" s="508"/>
      <c r="M404" s="865"/>
      <c r="N404" s="865"/>
      <c r="O404" s="865"/>
      <c r="P404" s="286"/>
      <c r="Q404" s="518"/>
      <c r="R404" s="866"/>
      <c r="S404" s="865" t="s">
        <v>60</v>
      </c>
      <c r="T404" s="865" t="s">
        <v>489</v>
      </c>
      <c r="U404" s="893" t="s">
        <v>114</v>
      </c>
      <c r="V404" s="286">
        <v>10</v>
      </c>
      <c r="W404" s="518" t="s">
        <v>17</v>
      </c>
      <c r="X404" s="866">
        <v>140000</v>
      </c>
      <c r="Y404" s="507"/>
      <c r="Z404" s="507"/>
      <c r="AA404" s="507"/>
      <c r="AB404" s="286"/>
      <c r="AC404" s="274"/>
      <c r="AD404" s="509"/>
      <c r="AE404" s="507"/>
      <c r="AF404" s="507"/>
      <c r="AG404" s="507"/>
      <c r="AH404" s="286"/>
      <c r="AI404" s="507"/>
      <c r="AJ404" s="509"/>
      <c r="AK404" s="507"/>
      <c r="AL404" s="507"/>
      <c r="AM404" s="509"/>
      <c r="AN404" s="286"/>
      <c r="AO404" s="507"/>
      <c r="AP404" s="509"/>
      <c r="AQ404" s="634"/>
      <c r="AR404" s="606"/>
      <c r="AS404" s="394"/>
      <c r="AT404" s="393"/>
      <c r="AU404" s="395"/>
      <c r="AV404" s="278"/>
      <c r="AW404" s="278"/>
      <c r="AX404" s="278"/>
      <c r="AY404" s="278"/>
      <c r="AZ404" s="278"/>
      <c r="BA404" s="278"/>
      <c r="BB404" s="278"/>
      <c r="BC404" s="278"/>
      <c r="BD404" s="278"/>
    </row>
    <row r="405" spans="1:56" ht="45.75" customHeight="1">
      <c r="A405" s="869"/>
      <c r="B405" s="870"/>
      <c r="C405" s="891"/>
      <c r="D405" s="892"/>
      <c r="E405" s="873"/>
      <c r="F405" s="874"/>
      <c r="G405" s="507"/>
      <c r="H405" s="507"/>
      <c r="I405" s="511"/>
      <c r="J405" s="274"/>
      <c r="K405" s="507"/>
      <c r="L405" s="508"/>
      <c r="M405" s="865"/>
      <c r="N405" s="865"/>
      <c r="O405" s="865"/>
      <c r="P405" s="287"/>
      <c r="Q405" s="507"/>
      <c r="R405" s="866"/>
      <c r="S405" s="865"/>
      <c r="T405" s="865"/>
      <c r="U405" s="916"/>
      <c r="V405" s="287">
        <f>V404*F404/E404</f>
        <v>60000</v>
      </c>
      <c r="W405" s="507" t="s">
        <v>32</v>
      </c>
      <c r="X405" s="866"/>
      <c r="Y405" s="507"/>
      <c r="Z405" s="507"/>
      <c r="AA405" s="507"/>
      <c r="AB405" s="286"/>
      <c r="AC405" s="274"/>
      <c r="AD405" s="509"/>
      <c r="AE405" s="507"/>
      <c r="AF405" s="507"/>
      <c r="AG405" s="507"/>
      <c r="AH405" s="286"/>
      <c r="AI405" s="507"/>
      <c r="AJ405" s="509"/>
      <c r="AK405" s="507"/>
      <c r="AL405" s="507"/>
      <c r="AM405" s="509"/>
      <c r="AN405" s="286"/>
      <c r="AO405" s="507"/>
      <c r="AP405" s="509"/>
      <c r="AQ405" s="634"/>
      <c r="AR405" s="606"/>
      <c r="AS405" s="394"/>
      <c r="AT405" s="393"/>
      <c r="AU405" s="395"/>
      <c r="AV405" s="278"/>
      <c r="AW405" s="278"/>
      <c r="AX405" s="278"/>
      <c r="AY405" s="278"/>
      <c r="AZ405" s="278"/>
      <c r="BA405" s="278"/>
      <c r="BB405" s="278"/>
      <c r="BC405" s="278"/>
      <c r="BD405" s="278"/>
    </row>
    <row r="406" spans="1:56" ht="45.75" customHeight="1">
      <c r="A406" s="869">
        <v>111</v>
      </c>
      <c r="B406" s="870">
        <v>805741</v>
      </c>
      <c r="C406" s="891" t="s">
        <v>846</v>
      </c>
      <c r="D406" s="892" t="s">
        <v>847</v>
      </c>
      <c r="E406" s="873">
        <v>33.835000000000001</v>
      </c>
      <c r="F406" s="874">
        <v>203010</v>
      </c>
      <c r="G406" s="507"/>
      <c r="H406" s="507"/>
      <c r="I406" s="511"/>
      <c r="J406" s="274"/>
      <c r="K406" s="507"/>
      <c r="L406" s="508"/>
      <c r="M406" s="865" t="s">
        <v>60</v>
      </c>
      <c r="N406" s="865" t="s">
        <v>489</v>
      </c>
      <c r="O406" s="893" t="s">
        <v>114</v>
      </c>
      <c r="P406" s="286">
        <v>5</v>
      </c>
      <c r="Q406" s="518" t="s">
        <v>17</v>
      </c>
      <c r="R406" s="866">
        <v>75000</v>
      </c>
      <c r="S406" s="507"/>
      <c r="T406" s="507"/>
      <c r="U406" s="507"/>
      <c r="V406" s="287"/>
      <c r="W406" s="507"/>
      <c r="X406" s="508"/>
      <c r="Y406" s="507"/>
      <c r="Z406" s="507"/>
      <c r="AA406" s="507"/>
      <c r="AB406" s="286"/>
      <c r="AC406" s="274"/>
      <c r="AD406" s="509"/>
      <c r="AE406" s="507"/>
      <c r="AF406" s="507"/>
      <c r="AG406" s="507"/>
      <c r="AH406" s="286"/>
      <c r="AI406" s="507"/>
      <c r="AJ406" s="509"/>
      <c r="AK406" s="507"/>
      <c r="AL406" s="507"/>
      <c r="AM406" s="509"/>
      <c r="AN406" s="286"/>
      <c r="AO406" s="507"/>
      <c r="AP406" s="509"/>
      <c r="AQ406" s="634"/>
      <c r="AR406" s="606"/>
      <c r="AS406" s="394"/>
      <c r="AT406" s="393"/>
      <c r="AU406" s="395"/>
      <c r="AV406" s="278"/>
      <c r="AW406" s="278"/>
      <c r="AX406" s="278"/>
      <c r="AY406" s="278"/>
      <c r="AZ406" s="278"/>
      <c r="BA406" s="278"/>
      <c r="BB406" s="278"/>
      <c r="BC406" s="278"/>
      <c r="BD406" s="278"/>
    </row>
    <row r="407" spans="1:56" ht="45.75" customHeight="1">
      <c r="A407" s="869"/>
      <c r="B407" s="870"/>
      <c r="C407" s="891"/>
      <c r="D407" s="892"/>
      <c r="E407" s="873"/>
      <c r="F407" s="874"/>
      <c r="G407" s="507"/>
      <c r="H407" s="507"/>
      <c r="I407" s="511"/>
      <c r="J407" s="274"/>
      <c r="K407" s="507"/>
      <c r="L407" s="508"/>
      <c r="M407" s="865"/>
      <c r="N407" s="865"/>
      <c r="O407" s="916"/>
      <c r="P407" s="287">
        <f>P406*F406/E406</f>
        <v>30000</v>
      </c>
      <c r="Q407" s="507" t="s">
        <v>32</v>
      </c>
      <c r="R407" s="866"/>
      <c r="S407" s="507"/>
      <c r="T407" s="507"/>
      <c r="U407" s="507"/>
      <c r="V407" s="287"/>
      <c r="W407" s="507"/>
      <c r="X407" s="508"/>
      <c r="Y407" s="507"/>
      <c r="Z407" s="507"/>
      <c r="AA407" s="507"/>
      <c r="AB407" s="286"/>
      <c r="AC407" s="274"/>
      <c r="AD407" s="509"/>
      <c r="AE407" s="507"/>
      <c r="AF407" s="507"/>
      <c r="AG407" s="507"/>
      <c r="AH407" s="286"/>
      <c r="AI407" s="507"/>
      <c r="AJ407" s="509"/>
      <c r="AK407" s="507"/>
      <c r="AL407" s="507"/>
      <c r="AM407" s="509"/>
      <c r="AN407" s="286"/>
      <c r="AO407" s="507"/>
      <c r="AP407" s="509"/>
      <c r="AQ407" s="634"/>
      <c r="AR407" s="606"/>
      <c r="AS407" s="394"/>
      <c r="AT407" s="393"/>
      <c r="AU407" s="395"/>
      <c r="AV407" s="278"/>
      <c r="AW407" s="278"/>
      <c r="AX407" s="278"/>
      <c r="AY407" s="278"/>
      <c r="AZ407" s="278"/>
      <c r="BA407" s="278"/>
      <c r="BB407" s="278"/>
      <c r="BC407" s="278"/>
      <c r="BD407" s="278"/>
    </row>
    <row r="408" spans="1:56" ht="51.75" customHeight="1">
      <c r="A408" s="869">
        <v>112</v>
      </c>
      <c r="B408" s="870" t="s">
        <v>848</v>
      </c>
      <c r="C408" s="891" t="s">
        <v>849</v>
      </c>
      <c r="D408" s="891" t="s">
        <v>850</v>
      </c>
      <c r="E408" s="873">
        <v>43.17</v>
      </c>
      <c r="F408" s="874">
        <v>259020</v>
      </c>
      <c r="G408" s="507"/>
      <c r="H408" s="507"/>
      <c r="I408" s="511"/>
      <c r="J408" s="274"/>
      <c r="K408" s="507"/>
      <c r="L408" s="508"/>
      <c r="M408" s="865" t="s">
        <v>60</v>
      </c>
      <c r="N408" s="865" t="s">
        <v>489</v>
      </c>
      <c r="O408" s="893" t="s">
        <v>114</v>
      </c>
      <c r="P408" s="286">
        <v>5</v>
      </c>
      <c r="Q408" s="518" t="s">
        <v>17</v>
      </c>
      <c r="R408" s="866">
        <v>78000</v>
      </c>
      <c r="S408" s="507"/>
      <c r="T408" s="507"/>
      <c r="U408" s="507"/>
      <c r="V408" s="287"/>
      <c r="W408" s="507"/>
      <c r="X408" s="508"/>
      <c r="Y408" s="507"/>
      <c r="Z408" s="507"/>
      <c r="AA408" s="507"/>
      <c r="AB408" s="286"/>
      <c r="AC408" s="274"/>
      <c r="AD408" s="509"/>
      <c r="AE408" s="507"/>
      <c r="AF408" s="507"/>
      <c r="AG408" s="507"/>
      <c r="AH408" s="286"/>
      <c r="AI408" s="507"/>
      <c r="AJ408" s="509"/>
      <c r="AK408" s="507"/>
      <c r="AL408" s="507"/>
      <c r="AM408" s="509"/>
      <c r="AN408" s="286"/>
      <c r="AO408" s="507"/>
      <c r="AP408" s="509"/>
      <c r="AQ408" s="634"/>
      <c r="AR408" s="606"/>
      <c r="AS408" s="394"/>
      <c r="AT408" s="393"/>
      <c r="AU408" s="395"/>
      <c r="AV408" s="278"/>
      <c r="AW408" s="278"/>
      <c r="AX408" s="278"/>
      <c r="AY408" s="278"/>
      <c r="AZ408" s="278"/>
      <c r="BA408" s="278"/>
      <c r="BB408" s="278"/>
      <c r="BC408" s="278"/>
      <c r="BD408" s="278"/>
    </row>
    <row r="409" spans="1:56" ht="51.75" customHeight="1">
      <c r="A409" s="869"/>
      <c r="B409" s="870"/>
      <c r="C409" s="891"/>
      <c r="D409" s="891"/>
      <c r="E409" s="873"/>
      <c r="F409" s="874"/>
      <c r="G409" s="507"/>
      <c r="H409" s="507"/>
      <c r="I409" s="511"/>
      <c r="J409" s="274"/>
      <c r="K409" s="507"/>
      <c r="L409" s="508"/>
      <c r="M409" s="865"/>
      <c r="N409" s="865"/>
      <c r="O409" s="916"/>
      <c r="P409" s="287">
        <f>P408*F408/E408</f>
        <v>30000</v>
      </c>
      <c r="Q409" s="507" t="s">
        <v>32</v>
      </c>
      <c r="R409" s="866"/>
      <c r="S409" s="507"/>
      <c r="T409" s="507"/>
      <c r="U409" s="507"/>
      <c r="V409" s="287"/>
      <c r="W409" s="507"/>
      <c r="X409" s="508"/>
      <c r="Y409" s="507"/>
      <c r="Z409" s="507"/>
      <c r="AA409" s="507"/>
      <c r="AB409" s="286"/>
      <c r="AC409" s="274"/>
      <c r="AD409" s="509"/>
      <c r="AE409" s="507"/>
      <c r="AF409" s="507"/>
      <c r="AG409" s="507"/>
      <c r="AH409" s="286"/>
      <c r="AI409" s="507"/>
      <c r="AJ409" s="509"/>
      <c r="AK409" s="507"/>
      <c r="AL409" s="507"/>
      <c r="AM409" s="509"/>
      <c r="AN409" s="286"/>
      <c r="AO409" s="507"/>
      <c r="AP409" s="509"/>
      <c r="AQ409" s="634"/>
      <c r="AR409" s="606"/>
      <c r="AS409" s="394"/>
      <c r="AT409" s="393"/>
      <c r="AU409" s="395"/>
      <c r="AV409" s="278"/>
      <c r="AW409" s="278"/>
      <c r="AX409" s="278"/>
      <c r="AY409" s="278"/>
      <c r="AZ409" s="278"/>
      <c r="BA409" s="278"/>
      <c r="BB409" s="278"/>
      <c r="BC409" s="278"/>
      <c r="BD409" s="278"/>
    </row>
    <row r="410" spans="1:56" ht="55.5" customHeight="1">
      <c r="A410" s="869">
        <v>113</v>
      </c>
      <c r="B410" s="870" t="s">
        <v>851</v>
      </c>
      <c r="C410" s="891" t="s">
        <v>852</v>
      </c>
      <c r="D410" s="891" t="s">
        <v>853</v>
      </c>
      <c r="E410" s="873">
        <v>28.15</v>
      </c>
      <c r="F410" s="874">
        <v>197050</v>
      </c>
      <c r="G410" s="507"/>
      <c r="H410" s="507"/>
      <c r="I410" s="511"/>
      <c r="J410" s="274"/>
      <c r="K410" s="507"/>
      <c r="L410" s="508"/>
      <c r="M410" s="865" t="s">
        <v>60</v>
      </c>
      <c r="N410" s="865" t="s">
        <v>489</v>
      </c>
      <c r="O410" s="893" t="s">
        <v>114</v>
      </c>
      <c r="P410" s="286">
        <v>5</v>
      </c>
      <c r="Q410" s="518" t="s">
        <v>17</v>
      </c>
      <c r="R410" s="866">
        <v>82000</v>
      </c>
      <c r="S410" s="507"/>
      <c r="T410" s="507"/>
      <c r="U410" s="507"/>
      <c r="V410" s="287"/>
      <c r="W410" s="507"/>
      <c r="X410" s="508"/>
      <c r="Y410" s="507"/>
      <c r="Z410" s="507"/>
      <c r="AA410" s="507"/>
      <c r="AB410" s="286"/>
      <c r="AC410" s="274"/>
      <c r="AD410" s="509"/>
      <c r="AE410" s="507"/>
      <c r="AF410" s="507"/>
      <c r="AG410" s="507"/>
      <c r="AH410" s="286"/>
      <c r="AI410" s="507"/>
      <c r="AJ410" s="509"/>
      <c r="AK410" s="507"/>
      <c r="AL410" s="507"/>
      <c r="AM410" s="509"/>
      <c r="AN410" s="286"/>
      <c r="AO410" s="507"/>
      <c r="AP410" s="509"/>
      <c r="AQ410" s="634"/>
      <c r="AR410" s="606"/>
      <c r="AS410" s="394"/>
      <c r="AT410" s="393"/>
      <c r="AU410" s="395"/>
      <c r="AV410" s="278"/>
      <c r="AW410" s="278"/>
      <c r="AX410" s="278"/>
      <c r="AY410" s="278"/>
      <c r="AZ410" s="278"/>
      <c r="BA410" s="278"/>
      <c r="BB410" s="278"/>
      <c r="BC410" s="278"/>
      <c r="BD410" s="278"/>
    </row>
    <row r="411" spans="1:56" ht="55.5" customHeight="1">
      <c r="A411" s="869"/>
      <c r="B411" s="870"/>
      <c r="C411" s="891"/>
      <c r="D411" s="891"/>
      <c r="E411" s="873"/>
      <c r="F411" s="874"/>
      <c r="G411" s="507"/>
      <c r="H411" s="507"/>
      <c r="I411" s="511"/>
      <c r="J411" s="274"/>
      <c r="K411" s="507"/>
      <c r="L411" s="508"/>
      <c r="M411" s="865"/>
      <c r="N411" s="865"/>
      <c r="O411" s="916"/>
      <c r="P411" s="287">
        <f>P410*F410/E410</f>
        <v>35000</v>
      </c>
      <c r="Q411" s="507" t="s">
        <v>32</v>
      </c>
      <c r="R411" s="866"/>
      <c r="S411" s="507"/>
      <c r="T411" s="507"/>
      <c r="U411" s="507"/>
      <c r="V411" s="287"/>
      <c r="W411" s="507"/>
      <c r="X411" s="508"/>
      <c r="Y411" s="507"/>
      <c r="Z411" s="507"/>
      <c r="AA411" s="507"/>
      <c r="AB411" s="286"/>
      <c r="AC411" s="274"/>
      <c r="AD411" s="509"/>
      <c r="AE411" s="507"/>
      <c r="AF411" s="507"/>
      <c r="AG411" s="507"/>
      <c r="AH411" s="286"/>
      <c r="AI411" s="507"/>
      <c r="AJ411" s="509"/>
      <c r="AK411" s="507"/>
      <c r="AL411" s="507"/>
      <c r="AM411" s="509"/>
      <c r="AN411" s="286"/>
      <c r="AO411" s="507"/>
      <c r="AP411" s="509"/>
      <c r="AQ411" s="634"/>
      <c r="AR411" s="606"/>
      <c r="AS411" s="394"/>
      <c r="AT411" s="393"/>
      <c r="AU411" s="395"/>
      <c r="AV411" s="278"/>
      <c r="AW411" s="278"/>
      <c r="AX411" s="278"/>
      <c r="AY411" s="278"/>
      <c r="AZ411" s="278"/>
      <c r="BA411" s="278"/>
      <c r="BB411" s="278"/>
      <c r="BC411" s="278"/>
      <c r="BD411" s="278"/>
    </row>
    <row r="412" spans="1:56" ht="46.5" customHeight="1">
      <c r="A412" s="869">
        <v>114</v>
      </c>
      <c r="B412" s="870" t="s">
        <v>854</v>
      </c>
      <c r="C412" s="871" t="s">
        <v>855</v>
      </c>
      <c r="D412" s="872" t="s">
        <v>856</v>
      </c>
      <c r="E412" s="873">
        <v>31.44</v>
      </c>
      <c r="F412" s="874">
        <v>204360</v>
      </c>
      <c r="G412" s="507"/>
      <c r="H412" s="507"/>
      <c r="I412" s="511"/>
      <c r="J412" s="274"/>
      <c r="K412" s="507"/>
      <c r="L412" s="508"/>
      <c r="M412" s="865" t="s">
        <v>60</v>
      </c>
      <c r="N412" s="865" t="s">
        <v>489</v>
      </c>
      <c r="O412" s="893" t="s">
        <v>114</v>
      </c>
      <c r="P412" s="286">
        <v>5</v>
      </c>
      <c r="Q412" s="518" t="s">
        <v>17</v>
      </c>
      <c r="R412" s="866">
        <v>80000</v>
      </c>
      <c r="S412" s="507"/>
      <c r="T412" s="507"/>
      <c r="U412" s="507"/>
      <c r="V412" s="287"/>
      <c r="W412" s="507"/>
      <c r="X412" s="508"/>
      <c r="Y412" s="507"/>
      <c r="Z412" s="507"/>
      <c r="AA412" s="507"/>
      <c r="AB412" s="286"/>
      <c r="AC412" s="274"/>
      <c r="AD412" s="509"/>
      <c r="AE412" s="507"/>
      <c r="AF412" s="507"/>
      <c r="AG412" s="507"/>
      <c r="AH412" s="286"/>
      <c r="AI412" s="507"/>
      <c r="AJ412" s="509"/>
      <c r="AK412" s="507"/>
      <c r="AL412" s="507"/>
      <c r="AM412" s="509"/>
      <c r="AN412" s="286"/>
      <c r="AO412" s="507"/>
      <c r="AP412" s="509"/>
      <c r="AQ412" s="634"/>
      <c r="AR412" s="606"/>
      <c r="AS412" s="394"/>
      <c r="AT412" s="393"/>
      <c r="AU412" s="395"/>
      <c r="AV412" s="278"/>
      <c r="AW412" s="278"/>
      <c r="AX412" s="278"/>
      <c r="AY412" s="278"/>
      <c r="AZ412" s="278"/>
      <c r="BA412" s="278"/>
      <c r="BB412" s="278"/>
      <c r="BC412" s="278"/>
      <c r="BD412" s="278"/>
    </row>
    <row r="413" spans="1:56" ht="46.5" customHeight="1">
      <c r="A413" s="869"/>
      <c r="B413" s="870"/>
      <c r="C413" s="871"/>
      <c r="D413" s="872"/>
      <c r="E413" s="873"/>
      <c r="F413" s="874"/>
      <c r="G413" s="507"/>
      <c r="H413" s="507"/>
      <c r="I413" s="511"/>
      <c r="J413" s="274"/>
      <c r="K413" s="507"/>
      <c r="L413" s="508"/>
      <c r="M413" s="865"/>
      <c r="N413" s="865"/>
      <c r="O413" s="916"/>
      <c r="P413" s="287">
        <f>P412*F412/E412</f>
        <v>32500</v>
      </c>
      <c r="Q413" s="507" t="s">
        <v>32</v>
      </c>
      <c r="R413" s="866"/>
      <c r="S413" s="507"/>
      <c r="T413" s="507"/>
      <c r="U413" s="507"/>
      <c r="V413" s="287"/>
      <c r="W413" s="507"/>
      <c r="X413" s="508"/>
      <c r="Y413" s="507"/>
      <c r="Z413" s="507"/>
      <c r="AA413" s="507"/>
      <c r="AB413" s="286"/>
      <c r="AC413" s="274"/>
      <c r="AD413" s="509"/>
      <c r="AE413" s="507"/>
      <c r="AF413" s="507"/>
      <c r="AG413" s="507"/>
      <c r="AH413" s="286"/>
      <c r="AI413" s="507"/>
      <c r="AJ413" s="509"/>
      <c r="AK413" s="507"/>
      <c r="AL413" s="507"/>
      <c r="AM413" s="509"/>
      <c r="AN413" s="286"/>
      <c r="AO413" s="507"/>
      <c r="AP413" s="509"/>
      <c r="AQ413" s="634"/>
      <c r="AR413" s="606"/>
      <c r="AS413" s="394"/>
      <c r="AT413" s="393"/>
      <c r="AU413" s="395"/>
      <c r="AV413" s="278"/>
      <c r="AW413" s="278"/>
      <c r="AX413" s="278"/>
      <c r="AY413" s="278"/>
      <c r="AZ413" s="278"/>
      <c r="BA413" s="278"/>
      <c r="BB413" s="278"/>
      <c r="BC413" s="278"/>
      <c r="BD413" s="278"/>
    </row>
    <row r="414" spans="1:56" ht="33" customHeight="1">
      <c r="A414" s="869">
        <v>115</v>
      </c>
      <c r="B414" s="870" t="s">
        <v>1666</v>
      </c>
      <c r="C414" s="871" t="s">
        <v>2687</v>
      </c>
      <c r="D414" s="872" t="s">
        <v>2688</v>
      </c>
      <c r="E414" s="873">
        <v>5.3</v>
      </c>
      <c r="F414" s="874">
        <v>31800</v>
      </c>
      <c r="G414" s="507"/>
      <c r="H414" s="507"/>
      <c r="I414" s="511"/>
      <c r="J414" s="274"/>
      <c r="K414" s="507"/>
      <c r="L414" s="508"/>
      <c r="M414" s="907"/>
      <c r="N414" s="907"/>
      <c r="O414" s="907"/>
      <c r="P414" s="274"/>
      <c r="Q414" s="11"/>
      <c r="R414" s="866"/>
      <c r="S414" s="507"/>
      <c r="T414" s="507"/>
      <c r="U414" s="507"/>
      <c r="V414" s="287"/>
      <c r="W414" s="507"/>
      <c r="X414" s="508"/>
      <c r="Y414" s="507"/>
      <c r="Z414" s="507"/>
      <c r="AA414" s="507"/>
      <c r="AB414" s="286"/>
      <c r="AC414" s="274"/>
      <c r="AD414" s="509"/>
      <c r="AE414" s="507"/>
      <c r="AF414" s="507"/>
      <c r="AG414" s="907" t="s">
        <v>31</v>
      </c>
      <c r="AH414" s="286">
        <v>1</v>
      </c>
      <c r="AI414" s="507" t="s">
        <v>17</v>
      </c>
      <c r="AJ414" s="907">
        <v>60000</v>
      </c>
      <c r="AK414" s="507"/>
      <c r="AL414" s="507"/>
      <c r="AM414" s="509"/>
      <c r="AN414" s="286"/>
      <c r="AO414" s="507"/>
      <c r="AP414" s="509"/>
      <c r="AQ414" s="634"/>
      <c r="AR414" s="606"/>
      <c r="AS414" s="394"/>
      <c r="AT414" s="393"/>
      <c r="AU414" s="395"/>
      <c r="AV414" s="278"/>
      <c r="AW414" s="278"/>
      <c r="AX414" s="278"/>
      <c r="AY414" s="278"/>
      <c r="AZ414" s="278"/>
      <c r="BA414" s="278"/>
      <c r="BB414" s="278"/>
      <c r="BC414" s="278"/>
      <c r="BD414" s="278"/>
    </row>
    <row r="415" spans="1:56" ht="33" customHeight="1">
      <c r="A415" s="869"/>
      <c r="B415" s="870"/>
      <c r="C415" s="871"/>
      <c r="D415" s="872"/>
      <c r="E415" s="873"/>
      <c r="F415" s="874"/>
      <c r="G415" s="507"/>
      <c r="H415" s="507"/>
      <c r="I415" s="511"/>
      <c r="J415" s="274"/>
      <c r="K415" s="507"/>
      <c r="L415" s="508"/>
      <c r="M415" s="907"/>
      <c r="N415" s="907"/>
      <c r="O415" s="907"/>
      <c r="P415" s="534"/>
      <c r="Q415" s="13"/>
      <c r="R415" s="866"/>
      <c r="S415" s="507"/>
      <c r="T415" s="507"/>
      <c r="U415" s="507"/>
      <c r="V415" s="287"/>
      <c r="W415" s="507"/>
      <c r="X415" s="508"/>
      <c r="Y415" s="507"/>
      <c r="Z415" s="507"/>
      <c r="AA415" s="507"/>
      <c r="AB415" s="286"/>
      <c r="AC415" s="274"/>
      <c r="AD415" s="509"/>
      <c r="AE415" s="507"/>
      <c r="AF415" s="507"/>
      <c r="AG415" s="907"/>
      <c r="AH415" s="286">
        <f>F414/E414*AH414</f>
        <v>6000</v>
      </c>
      <c r="AI415" s="507" t="s">
        <v>32</v>
      </c>
      <c r="AJ415" s="907"/>
      <c r="AK415" s="507"/>
      <c r="AL415" s="507"/>
      <c r="AM415" s="509"/>
      <c r="AN415" s="286"/>
      <c r="AO415" s="507"/>
      <c r="AP415" s="509"/>
      <c r="AQ415" s="634"/>
      <c r="AR415" s="606"/>
      <c r="AS415" s="394"/>
      <c r="AT415" s="393"/>
      <c r="AU415" s="395"/>
      <c r="AV415" s="278"/>
      <c r="AW415" s="278"/>
      <c r="AX415" s="278"/>
      <c r="AY415" s="278"/>
      <c r="AZ415" s="278"/>
      <c r="BA415" s="278"/>
      <c r="BB415" s="278"/>
      <c r="BC415" s="278"/>
      <c r="BD415" s="278"/>
    </row>
    <row r="416" spans="1:56" ht="33" customHeight="1">
      <c r="A416" s="869">
        <v>116</v>
      </c>
      <c r="B416" s="870"/>
      <c r="C416" s="871" t="s">
        <v>2557</v>
      </c>
      <c r="D416" s="872"/>
      <c r="E416" s="873">
        <v>12.3</v>
      </c>
      <c r="F416" s="874">
        <v>86100</v>
      </c>
      <c r="G416" s="507"/>
      <c r="H416" s="507"/>
      <c r="I416" s="511"/>
      <c r="J416" s="274"/>
      <c r="K416" s="507"/>
      <c r="L416" s="508"/>
      <c r="M416" s="865"/>
      <c r="N416" s="865"/>
      <c r="O416" s="865"/>
      <c r="P416" s="286"/>
      <c r="Q416" s="518"/>
      <c r="R416" s="866"/>
      <c r="S416" s="507"/>
      <c r="T416" s="507"/>
      <c r="U416" s="507"/>
      <c r="V416" s="287"/>
      <c r="W416" s="507"/>
      <c r="X416" s="508"/>
      <c r="Y416" s="507"/>
      <c r="Z416" s="507"/>
      <c r="AA416" s="507"/>
      <c r="AB416" s="286"/>
      <c r="AC416" s="274"/>
      <c r="AD416" s="509"/>
      <c r="AE416" s="865" t="s">
        <v>60</v>
      </c>
      <c r="AF416" s="865" t="s">
        <v>2558</v>
      </c>
      <c r="AG416" s="865" t="s">
        <v>117</v>
      </c>
      <c r="AH416" s="286">
        <v>4.5549999999999997</v>
      </c>
      <c r="AI416" s="518" t="s">
        <v>17</v>
      </c>
      <c r="AJ416" s="866">
        <v>311565.99</v>
      </c>
      <c r="AK416" s="865" t="s">
        <v>2559</v>
      </c>
      <c r="AL416" s="865" t="s">
        <v>2685</v>
      </c>
      <c r="AM416" s="865" t="s">
        <v>117</v>
      </c>
      <c r="AN416" s="286">
        <v>6.7450000000000001</v>
      </c>
      <c r="AO416" s="518" t="s">
        <v>17</v>
      </c>
      <c r="AP416" s="866">
        <v>460000</v>
      </c>
      <c r="AQ416" s="634"/>
      <c r="AR416" s="606"/>
      <c r="AS416" s="394"/>
      <c r="AT416" s="393"/>
      <c r="AU416" s="395"/>
      <c r="AV416" s="278"/>
      <c r="AW416" s="278"/>
      <c r="AX416" s="278"/>
      <c r="AY416" s="278"/>
      <c r="AZ416" s="278"/>
      <c r="BA416" s="278"/>
      <c r="BB416" s="278"/>
      <c r="BC416" s="278"/>
      <c r="BD416" s="278"/>
    </row>
    <row r="417" spans="1:56" ht="33" customHeight="1">
      <c r="A417" s="869"/>
      <c r="B417" s="870"/>
      <c r="C417" s="871"/>
      <c r="D417" s="872"/>
      <c r="E417" s="873"/>
      <c r="F417" s="874"/>
      <c r="G417" s="507"/>
      <c r="H417" s="507"/>
      <c r="I417" s="511"/>
      <c r="J417" s="274"/>
      <c r="K417" s="507"/>
      <c r="L417" s="508"/>
      <c r="M417" s="865"/>
      <c r="N417" s="865"/>
      <c r="O417" s="865"/>
      <c r="P417" s="287"/>
      <c r="Q417" s="507"/>
      <c r="R417" s="866"/>
      <c r="S417" s="507"/>
      <c r="T417" s="507"/>
      <c r="U417" s="507"/>
      <c r="V417" s="287"/>
      <c r="W417" s="507"/>
      <c r="X417" s="508"/>
      <c r="Y417" s="507"/>
      <c r="Z417" s="507"/>
      <c r="AA417" s="507"/>
      <c r="AB417" s="286"/>
      <c r="AC417" s="274"/>
      <c r="AD417" s="509"/>
      <c r="AE417" s="865"/>
      <c r="AF417" s="865"/>
      <c r="AG417" s="865"/>
      <c r="AH417" s="287">
        <f>AH416*F416/E416</f>
        <v>31884.999999999996</v>
      </c>
      <c r="AI417" s="507" t="s">
        <v>32</v>
      </c>
      <c r="AJ417" s="866"/>
      <c r="AK417" s="865"/>
      <c r="AL417" s="865"/>
      <c r="AM417" s="865"/>
      <c r="AN417" s="287">
        <f>AN416*F416/E416</f>
        <v>47215</v>
      </c>
      <c r="AO417" s="507" t="s">
        <v>32</v>
      </c>
      <c r="AP417" s="866"/>
      <c r="AQ417" s="634"/>
      <c r="AR417" s="606"/>
      <c r="AS417" s="394"/>
      <c r="AT417" s="393"/>
      <c r="AU417" s="395"/>
      <c r="AV417" s="278"/>
      <c r="AW417" s="278"/>
      <c r="AX417" s="278"/>
      <c r="AY417" s="278"/>
      <c r="AZ417" s="278"/>
      <c r="BA417" s="278"/>
      <c r="BB417" s="278"/>
      <c r="BC417" s="278"/>
      <c r="BD417" s="278"/>
    </row>
    <row r="418" spans="1:56" ht="45" customHeight="1">
      <c r="A418" s="869">
        <v>117</v>
      </c>
      <c r="B418" s="870" t="s">
        <v>857</v>
      </c>
      <c r="C418" s="891" t="s">
        <v>858</v>
      </c>
      <c r="D418" s="892" t="s">
        <v>859</v>
      </c>
      <c r="E418" s="873">
        <v>29.5</v>
      </c>
      <c r="F418" s="874">
        <v>177000</v>
      </c>
      <c r="G418" s="507"/>
      <c r="H418" s="507"/>
      <c r="I418" s="511"/>
      <c r="J418" s="274"/>
      <c r="K418" s="507"/>
      <c r="L418" s="508"/>
      <c r="M418" s="865" t="s">
        <v>60</v>
      </c>
      <c r="N418" s="865" t="s">
        <v>496</v>
      </c>
      <c r="O418" s="893" t="s">
        <v>114</v>
      </c>
      <c r="P418" s="286">
        <v>5</v>
      </c>
      <c r="Q418" s="518" t="s">
        <v>17</v>
      </c>
      <c r="R418" s="866">
        <v>76000</v>
      </c>
      <c r="S418" s="507"/>
      <c r="T418" s="507"/>
      <c r="U418" s="507"/>
      <c r="V418" s="287"/>
      <c r="W418" s="507"/>
      <c r="X418" s="508"/>
      <c r="Y418" s="507"/>
      <c r="Z418" s="507"/>
      <c r="AA418" s="507"/>
      <c r="AB418" s="286"/>
      <c r="AC418" s="274"/>
      <c r="AD418" s="509"/>
      <c r="AE418" s="507"/>
      <c r="AF418" s="507"/>
      <c r="AG418" s="507"/>
      <c r="AH418" s="286"/>
      <c r="AI418" s="507"/>
      <c r="AJ418" s="509"/>
      <c r="AK418" s="507"/>
      <c r="AL418" s="507"/>
      <c r="AM418" s="509"/>
      <c r="AN418" s="286"/>
      <c r="AO418" s="507"/>
      <c r="AP418" s="509"/>
      <c r="AQ418" s="634"/>
      <c r="AR418" s="606"/>
      <c r="AS418" s="394"/>
      <c r="AT418" s="393"/>
      <c r="AU418" s="395"/>
      <c r="AV418" s="278"/>
      <c r="AW418" s="278"/>
      <c r="AX418" s="278"/>
      <c r="AY418" s="278"/>
      <c r="AZ418" s="278"/>
      <c r="BA418" s="278"/>
      <c r="BB418" s="278"/>
      <c r="BC418" s="278"/>
      <c r="BD418" s="278"/>
    </row>
    <row r="419" spans="1:56" ht="45" customHeight="1">
      <c r="A419" s="869"/>
      <c r="B419" s="870"/>
      <c r="C419" s="891"/>
      <c r="D419" s="892"/>
      <c r="E419" s="873"/>
      <c r="F419" s="874"/>
      <c r="G419" s="507"/>
      <c r="H419" s="507"/>
      <c r="I419" s="511"/>
      <c r="J419" s="274"/>
      <c r="K419" s="507"/>
      <c r="L419" s="508"/>
      <c r="M419" s="865"/>
      <c r="N419" s="865"/>
      <c r="O419" s="916"/>
      <c r="P419" s="287">
        <f>P418*F418/E418</f>
        <v>30000</v>
      </c>
      <c r="Q419" s="507" t="s">
        <v>32</v>
      </c>
      <c r="R419" s="866"/>
      <c r="S419" s="507"/>
      <c r="T419" s="507"/>
      <c r="U419" s="507"/>
      <c r="V419" s="287"/>
      <c r="W419" s="507"/>
      <c r="X419" s="508"/>
      <c r="Y419" s="507"/>
      <c r="Z419" s="507"/>
      <c r="AA419" s="507"/>
      <c r="AB419" s="286"/>
      <c r="AC419" s="274"/>
      <c r="AD419" s="509"/>
      <c r="AE419" s="507"/>
      <c r="AF419" s="507"/>
      <c r="AG419" s="507"/>
      <c r="AH419" s="286"/>
      <c r="AI419" s="507"/>
      <c r="AJ419" s="509"/>
      <c r="AK419" s="507"/>
      <c r="AL419" s="507"/>
      <c r="AM419" s="509"/>
      <c r="AN419" s="286"/>
      <c r="AO419" s="507"/>
      <c r="AP419" s="509"/>
      <c r="AQ419" s="634"/>
      <c r="AR419" s="606"/>
      <c r="AS419" s="394"/>
      <c r="AT419" s="393"/>
      <c r="AU419" s="395"/>
      <c r="AV419" s="278"/>
      <c r="AW419" s="278"/>
      <c r="AX419" s="278"/>
      <c r="AY419" s="278"/>
      <c r="AZ419" s="278"/>
      <c r="BA419" s="278"/>
      <c r="BB419" s="278"/>
      <c r="BC419" s="278"/>
      <c r="BD419" s="278"/>
    </row>
    <row r="420" spans="1:56" ht="56.25" customHeight="1">
      <c r="A420" s="925"/>
      <c r="B420" s="926"/>
      <c r="C420" s="927" t="s">
        <v>111</v>
      </c>
      <c r="D420" s="928"/>
      <c r="E420" s="928"/>
      <c r="F420" s="929"/>
      <c r="G420" s="20"/>
      <c r="H420" s="20"/>
      <c r="I420" s="886" t="s">
        <v>112</v>
      </c>
      <c r="J420" s="887"/>
      <c r="K420" s="518"/>
      <c r="L420" s="279"/>
      <c r="M420" s="20"/>
      <c r="N420" s="20"/>
      <c r="O420" s="886" t="s">
        <v>112</v>
      </c>
      <c r="P420" s="24"/>
      <c r="Q420" s="518" t="s">
        <v>17</v>
      </c>
      <c r="R420" s="888"/>
      <c r="S420" s="26"/>
      <c r="T420" s="26"/>
      <c r="U420" s="886" t="s">
        <v>112</v>
      </c>
      <c r="V420" s="24"/>
      <c r="W420" s="518" t="s">
        <v>17</v>
      </c>
      <c r="X420" s="621">
        <v>0</v>
      </c>
      <c r="Y420" s="26"/>
      <c r="Z420" s="14"/>
      <c r="AA420" s="886" t="s">
        <v>112</v>
      </c>
      <c r="AB420" s="24"/>
      <c r="AC420" s="518" t="s">
        <v>17</v>
      </c>
      <c r="AD420" s="886"/>
      <c r="AE420" s="26"/>
      <c r="AF420" s="26"/>
      <c r="AG420" s="886" t="s">
        <v>112</v>
      </c>
      <c r="AH420" s="24">
        <f>266.1</f>
        <v>266.10000000000002</v>
      </c>
      <c r="AI420" s="518" t="s">
        <v>17</v>
      </c>
      <c r="AJ420" s="886">
        <v>500000</v>
      </c>
      <c r="AK420" s="26"/>
      <c r="AL420" s="26"/>
      <c r="AM420" s="886" t="s">
        <v>112</v>
      </c>
      <c r="AN420" s="24">
        <f>J422+266.1</f>
        <v>266.10000000000002</v>
      </c>
      <c r="AO420" s="518" t="s">
        <v>17</v>
      </c>
      <c r="AP420" s="886">
        <v>2999761.6938510002</v>
      </c>
      <c r="AQ420" s="634"/>
      <c r="AR420" s="606"/>
      <c r="AS420" s="394"/>
      <c r="AT420" s="393"/>
      <c r="AU420" s="395"/>
      <c r="AV420" s="278"/>
      <c r="AW420" s="278"/>
      <c r="AX420" s="278"/>
      <c r="AY420" s="278"/>
      <c r="AZ420" s="278"/>
      <c r="BA420" s="278"/>
      <c r="BB420" s="278"/>
      <c r="BC420" s="278"/>
      <c r="BD420" s="278"/>
    </row>
    <row r="421" spans="1:56" ht="56.25" customHeight="1">
      <c r="A421" s="925"/>
      <c r="B421" s="926"/>
      <c r="C421" s="927"/>
      <c r="D421" s="928"/>
      <c r="E421" s="928"/>
      <c r="F421" s="929"/>
      <c r="G421" s="20"/>
      <c r="H421" s="20"/>
      <c r="I421" s="886"/>
      <c r="J421" s="887"/>
      <c r="K421" s="507"/>
      <c r="L421" s="279"/>
      <c r="M421" s="20"/>
      <c r="N421" s="20"/>
      <c r="O421" s="886"/>
      <c r="P421" s="24">
        <f>P420*7500</f>
        <v>0</v>
      </c>
      <c r="Q421" s="507" t="s">
        <v>32</v>
      </c>
      <c r="R421" s="888"/>
      <c r="S421" s="26"/>
      <c r="T421" s="26"/>
      <c r="U421" s="886"/>
      <c r="V421" s="24">
        <f>V420*7500</f>
        <v>0</v>
      </c>
      <c r="W421" s="507" t="s">
        <v>32</v>
      </c>
      <c r="X421" s="621"/>
      <c r="Y421" s="26"/>
      <c r="Z421" s="14"/>
      <c r="AA421" s="886"/>
      <c r="AB421" s="24"/>
      <c r="AC421" s="507" t="s">
        <v>32</v>
      </c>
      <c r="AD421" s="886"/>
      <c r="AE421" s="26"/>
      <c r="AF421" s="26"/>
      <c r="AG421" s="886"/>
      <c r="AH421" s="24">
        <f>AH420*7500</f>
        <v>1995750.0000000002</v>
      </c>
      <c r="AI421" s="507" t="s">
        <v>32</v>
      </c>
      <c r="AJ421" s="886"/>
      <c r="AK421" s="26"/>
      <c r="AL421" s="26"/>
      <c r="AM421" s="886"/>
      <c r="AN421" s="24">
        <f>AN420*7500</f>
        <v>1995750.0000000002</v>
      </c>
      <c r="AO421" s="507" t="s">
        <v>32</v>
      </c>
      <c r="AP421" s="886"/>
      <c r="AQ421" s="634"/>
      <c r="AR421" s="606"/>
      <c r="AS421" s="394"/>
      <c r="AT421" s="393"/>
      <c r="AU421" s="395"/>
      <c r="AV421" s="278"/>
      <c r="AW421" s="278"/>
      <c r="AX421" s="278"/>
      <c r="AY421" s="278"/>
      <c r="AZ421" s="278"/>
      <c r="BA421" s="278"/>
      <c r="BB421" s="278"/>
      <c r="BC421" s="278"/>
      <c r="BD421" s="278"/>
    </row>
    <row r="422" spans="1:56" ht="57" customHeight="1">
      <c r="A422" s="994" t="s">
        <v>3247</v>
      </c>
      <c r="B422" s="995"/>
      <c r="C422" s="995"/>
      <c r="D422" s="995"/>
      <c r="E422" s="506">
        <f>SUM(E117:E419)</f>
        <v>2640.1440000000002</v>
      </c>
      <c r="F422" s="421">
        <f>SUM(F117:F419)</f>
        <v>17769246.199999999</v>
      </c>
      <c r="G422" s="506"/>
      <c r="H422" s="506"/>
      <c r="I422" s="506" t="s">
        <v>1312</v>
      </c>
      <c r="J422" s="415"/>
      <c r="K422" s="506"/>
      <c r="L422" s="416">
        <f>SUM(L117:L421)</f>
        <v>3093800.8089000019</v>
      </c>
      <c r="M422" s="417"/>
      <c r="N422" s="418"/>
      <c r="O422" s="506"/>
      <c r="P422" s="415"/>
      <c r="Q422" s="506"/>
      <c r="R422" s="416">
        <f>SUM(R117:R421)</f>
        <v>3541101</v>
      </c>
      <c r="S422" s="506"/>
      <c r="T422" s="506"/>
      <c r="U422" s="506"/>
      <c r="V422" s="415"/>
      <c r="W422" s="506"/>
      <c r="X422" s="416">
        <f>SUM(X117:X421)</f>
        <v>5560750.9703306379</v>
      </c>
      <c r="Y422" s="506"/>
      <c r="Z422" s="506"/>
      <c r="AA422" s="506"/>
      <c r="AB422" s="415"/>
      <c r="AC422" s="506"/>
      <c r="AD422" s="416">
        <f>SUM(AD117:AD421)</f>
        <v>4947264.3999999994</v>
      </c>
      <c r="AE422" s="506"/>
      <c r="AF422" s="506"/>
      <c r="AG422" s="506"/>
      <c r="AH422" s="415"/>
      <c r="AI422" s="506"/>
      <c r="AJ422" s="416">
        <f>SUM(AJ117:AJ421)</f>
        <v>3146365.99</v>
      </c>
      <c r="AK422" s="506"/>
      <c r="AL422" s="506"/>
      <c r="AM422" s="506"/>
      <c r="AN422" s="415"/>
      <c r="AO422" s="506"/>
      <c r="AP422" s="416">
        <f>SUM(AP117:AP421)</f>
        <v>6297761.6938509997</v>
      </c>
      <c r="AQ422" s="634"/>
      <c r="AR422" s="606"/>
      <c r="AS422" s="394"/>
      <c r="AT422" s="393"/>
      <c r="AU422" s="395"/>
      <c r="AV422" s="278"/>
      <c r="AW422" s="278"/>
      <c r="AX422" s="278"/>
      <c r="AY422" s="278"/>
      <c r="AZ422" s="278"/>
      <c r="BA422" s="278"/>
      <c r="BB422" s="278"/>
      <c r="BC422" s="278"/>
      <c r="BD422" s="278"/>
    </row>
    <row r="423" spans="1:56">
      <c r="A423" s="904" t="s">
        <v>3265</v>
      </c>
      <c r="B423" s="905"/>
      <c r="C423" s="905"/>
      <c r="D423" s="905"/>
      <c r="E423" s="905"/>
      <c r="F423" s="905"/>
      <c r="G423" s="905"/>
      <c r="H423" s="905"/>
      <c r="I423" s="906" t="s">
        <v>114</v>
      </c>
      <c r="J423" s="38">
        <f>SUMIF(I117:I418,"=ремонт покрытия проезжей части",J117:J418)</f>
        <v>153.47800000000004</v>
      </c>
      <c r="K423" s="396" t="s">
        <v>17</v>
      </c>
      <c r="L423" s="896">
        <f>SUMIF(I117:I418,"=ремонт покрытия проезжей части",L117:L418)+SUMIF(I117:I418,"=ремонт покрытия проезжей части",L118:L419)</f>
        <v>1823739.5979499999</v>
      </c>
      <c r="M423" s="419"/>
      <c r="N423" s="396"/>
      <c r="O423" s="906" t="s">
        <v>114</v>
      </c>
      <c r="P423" s="38">
        <f>SUMIF(O117:O418,"=ремонт покрытия проезжей части",P117:P418)</f>
        <v>186.06700000000001</v>
      </c>
      <c r="Q423" s="396" t="s">
        <v>17</v>
      </c>
      <c r="R423" s="896">
        <f>SUMIF(O117:O418,"=ремонт покрытия проезжей части",R117:R418)+SUMIF(O117:O418,"=ремонт покрытия проезжей части",R118:R419)</f>
        <v>2768437</v>
      </c>
      <c r="S423" s="396"/>
      <c r="T423" s="396"/>
      <c r="U423" s="906" t="s">
        <v>114</v>
      </c>
      <c r="V423" s="38">
        <f>SUMIF(U117:U418,"=ремонт покрытия проезжей части",V117:V418)</f>
        <v>143</v>
      </c>
      <c r="W423" s="396" t="s">
        <v>17</v>
      </c>
      <c r="X423" s="896">
        <f>SUMIF(U117:U418,"=ремонт покрытия проезжей части",X117:X418)+SUMIF(U117:U418,"=ремонт покрытия проезжей части",X118:X419)</f>
        <v>1871687.1085106384</v>
      </c>
      <c r="Y423" s="396"/>
      <c r="Z423" s="396"/>
      <c r="AA423" s="906" t="s">
        <v>114</v>
      </c>
      <c r="AB423" s="38">
        <f>SUMIF(AA117:AA418,"=ремонт покрытия проезжей части",AB117:AB418)</f>
        <v>0</v>
      </c>
      <c r="AC423" s="396" t="s">
        <v>17</v>
      </c>
      <c r="AD423" s="896">
        <f>SUMIF(AA117:AA418,"=ремонт покрытия проезжей части",AD117:AD418)+SUMIF(AA117:AA418,"=ремонт покрытия проезжей части",AD118:AD419)</f>
        <v>0</v>
      </c>
      <c r="AE423" s="396"/>
      <c r="AF423" s="396"/>
      <c r="AG423" s="906" t="s">
        <v>114</v>
      </c>
      <c r="AH423" s="38">
        <f>SUMIF(AG117:AG418,"=ремонт покрытия проезжей части",AH117:AH418)</f>
        <v>0</v>
      </c>
      <c r="AI423" s="396" t="s">
        <v>17</v>
      </c>
      <c r="AJ423" s="896">
        <f>SUMIF(AG117:AG418,"=ремонт покрытия проезжей части",AJ117:AJ418)+SUMIF(AG117:AG418,"=ремонт покрытия проезжей части",AJ118:AJ419)</f>
        <v>0</v>
      </c>
      <c r="AK423" s="396"/>
      <c r="AL423" s="396"/>
      <c r="AM423" s="906" t="s">
        <v>114</v>
      </c>
      <c r="AN423" s="38">
        <f>SUMIF(AM117:AM418,"=ремонт покрытия проезжей части",AN117:AN418)</f>
        <v>0</v>
      </c>
      <c r="AO423" s="396" t="s">
        <v>17</v>
      </c>
      <c r="AP423" s="896">
        <f>SUMIF(AM117:AM418,"=ремонт покрытия проезжей части",AP117:AP418)+SUMIF(AM117:AM418,"=ремонт покрытия проезжей части",AP118:AP419)</f>
        <v>0</v>
      </c>
      <c r="AQ423" s="634"/>
      <c r="AR423" s="606"/>
      <c r="AS423" s="394"/>
      <c r="AT423" s="393"/>
      <c r="AU423" s="395"/>
      <c r="AV423" s="278"/>
      <c r="AW423" s="278"/>
      <c r="AX423" s="278"/>
      <c r="AY423" s="278"/>
      <c r="AZ423" s="278"/>
      <c r="BA423" s="278"/>
      <c r="BB423" s="278"/>
      <c r="BC423" s="278"/>
      <c r="BD423" s="278"/>
    </row>
    <row r="424" spans="1:56">
      <c r="A424" s="904"/>
      <c r="B424" s="905"/>
      <c r="C424" s="905"/>
      <c r="D424" s="905"/>
      <c r="E424" s="905"/>
      <c r="F424" s="905"/>
      <c r="G424" s="905"/>
      <c r="H424" s="905"/>
      <c r="I424" s="906"/>
      <c r="J424" s="37">
        <f>SUMIF(I117:I418,"=ремонт покрытия проезжей части",J118:J419)</f>
        <v>1027362.3620930231</v>
      </c>
      <c r="K424" s="396" t="s">
        <v>32</v>
      </c>
      <c r="L424" s="896"/>
      <c r="M424" s="419"/>
      <c r="N424" s="396"/>
      <c r="O424" s="906"/>
      <c r="P424" s="37">
        <f>SUMIF(O117:O418,"=ремонт покрытия проезжей части",P118:P419)</f>
        <v>1234589.9285714286</v>
      </c>
      <c r="Q424" s="396" t="s">
        <v>32</v>
      </c>
      <c r="R424" s="896"/>
      <c r="S424" s="396"/>
      <c r="T424" s="396"/>
      <c r="U424" s="906"/>
      <c r="V424" s="37">
        <f>SUMIF(U117:U418,"=ремонт покрытия проезжей части",V118:V419)</f>
        <v>928792.8183899275</v>
      </c>
      <c r="W424" s="396" t="s">
        <v>32</v>
      </c>
      <c r="X424" s="896"/>
      <c r="Y424" s="396"/>
      <c r="Z424" s="396"/>
      <c r="AA424" s="906"/>
      <c r="AB424" s="37">
        <f>SUMIF(AA117:AA418,"=ремонт покрытия проезжей части",AB118:AB419)</f>
        <v>0</v>
      </c>
      <c r="AC424" s="396" t="s">
        <v>32</v>
      </c>
      <c r="AD424" s="896"/>
      <c r="AE424" s="396"/>
      <c r="AF424" s="396"/>
      <c r="AG424" s="906"/>
      <c r="AH424" s="37">
        <f>SUMIF(AG117:AG418,"=ремонт покрытия проезжей части",AH118:AH419)</f>
        <v>0</v>
      </c>
      <c r="AI424" s="396" t="s">
        <v>32</v>
      </c>
      <c r="AJ424" s="896"/>
      <c r="AK424" s="396"/>
      <c r="AL424" s="396"/>
      <c r="AM424" s="906"/>
      <c r="AN424" s="37">
        <f>SUMIF(AM117:AM418,"=ремонт покрытия проезжей части",AN118:AN419)</f>
        <v>0</v>
      </c>
      <c r="AO424" s="396" t="s">
        <v>32</v>
      </c>
      <c r="AP424" s="896"/>
      <c r="AQ424" s="634"/>
      <c r="AR424" s="606"/>
      <c r="AS424" s="394"/>
      <c r="AT424" s="393"/>
      <c r="AU424" s="395"/>
      <c r="AV424" s="278"/>
      <c r="AW424" s="278"/>
      <c r="AX424" s="278"/>
      <c r="AY424" s="278"/>
      <c r="AZ424" s="278"/>
      <c r="BA424" s="278"/>
      <c r="BB424" s="278"/>
      <c r="BC424" s="278"/>
      <c r="BD424" s="278"/>
    </row>
    <row r="425" spans="1:56">
      <c r="A425" s="904"/>
      <c r="B425" s="905"/>
      <c r="C425" s="905"/>
      <c r="D425" s="905"/>
      <c r="E425" s="905"/>
      <c r="F425" s="905"/>
      <c r="G425" s="905"/>
      <c r="H425" s="905"/>
      <c r="I425" s="906" t="s">
        <v>115</v>
      </c>
      <c r="J425" s="38">
        <f>SUMIF(I117:I418,"=кап. ремонт",J117:J418)</f>
        <v>62.788379999999997</v>
      </c>
      <c r="K425" s="396" t="s">
        <v>17</v>
      </c>
      <c r="L425" s="896">
        <f>SUMIF(I117:I418,"=кап. ремонт",L117:L418)+SUMIF(I117:I418,"=кап. ремонт",L118:L419)</f>
        <v>1149644.8769499999</v>
      </c>
      <c r="M425" s="419"/>
      <c r="N425" s="396"/>
      <c r="O425" s="906" t="s">
        <v>115</v>
      </c>
      <c r="P425" s="38">
        <f>SUMIF(O117:O418,"=кап. ремонт",P117:P418)</f>
        <v>29</v>
      </c>
      <c r="Q425" s="396" t="s">
        <v>17</v>
      </c>
      <c r="R425" s="896">
        <f>SUMIF(O117:O418,"=кап. ремонт",R117:R418)+SUMIF(O117:O418,"=кап. ремонт",R118:R419)</f>
        <v>571994</v>
      </c>
      <c r="S425" s="396"/>
      <c r="T425" s="396"/>
      <c r="U425" s="906" t="s">
        <v>115</v>
      </c>
      <c r="V425" s="38">
        <f>SUMIF(U117:U418,"=кап. ремонт",V117:V418)</f>
        <v>112.59999999999998</v>
      </c>
      <c r="W425" s="396" t="s">
        <v>17</v>
      </c>
      <c r="X425" s="896">
        <f>SUMIF(U117:U418,"=кап. ремонт",X117:X418)+SUMIF(U117:U418,"=кап. ремонт",X118:X419)</f>
        <v>3609063.8618199998</v>
      </c>
      <c r="Y425" s="396"/>
      <c r="Z425" s="396"/>
      <c r="AA425" s="906" t="s">
        <v>115</v>
      </c>
      <c r="AB425" s="38">
        <f>SUMIF(AA117:AA418,"=кап. ремонт",AB117:AB418)</f>
        <v>117.315</v>
      </c>
      <c r="AC425" s="396" t="s">
        <v>17</v>
      </c>
      <c r="AD425" s="896">
        <f>SUMIF(AA117:AA418,"=кап. ремонт",AD117:AD418)+SUMIF(AA117:AA418,"=кап. ремонт",AD118:AD419)</f>
        <v>4947264.3999999994</v>
      </c>
      <c r="AE425" s="396"/>
      <c r="AF425" s="396"/>
      <c r="AG425" s="906" t="s">
        <v>115</v>
      </c>
      <c r="AH425" s="38">
        <f>SUMIF(AG117:AG418,"=кап. ремонт",AH117:AH418)</f>
        <v>39.78</v>
      </c>
      <c r="AI425" s="396" t="s">
        <v>17</v>
      </c>
      <c r="AJ425" s="896">
        <f>SUMIF(AG117:AG418,"=кап. ремонт",AJ117:AJ418)+SUMIF(AG117:AG418,"=кап. ремонт",AJ118:AJ419)</f>
        <v>2334800</v>
      </c>
      <c r="AK425" s="396"/>
      <c r="AL425" s="396"/>
      <c r="AM425" s="906" t="s">
        <v>115</v>
      </c>
      <c r="AN425" s="38">
        <f>SUMIF(AM117:AM418,"=кап. ремонт",AN117:AN418)</f>
        <v>47.25</v>
      </c>
      <c r="AO425" s="396" t="s">
        <v>17</v>
      </c>
      <c r="AP425" s="896">
        <f>SUMIF(AM117:AM418,"=кап. ремонт",AP117:AP418)+SUMIF(AM117:AM418,"=кап. ремонт",AP118:AP419)</f>
        <v>2838000</v>
      </c>
      <c r="AQ425" s="634"/>
      <c r="AR425" s="606"/>
      <c r="AS425" s="394"/>
      <c r="AT425" s="393"/>
      <c r="AU425" s="395"/>
      <c r="AV425" s="278"/>
      <c r="AW425" s="278"/>
      <c r="AX425" s="278"/>
      <c r="AY425" s="278"/>
      <c r="AZ425" s="278"/>
      <c r="BA425" s="278"/>
      <c r="BB425" s="278"/>
      <c r="BC425" s="278"/>
      <c r="BD425" s="278"/>
    </row>
    <row r="426" spans="1:56">
      <c r="A426" s="904"/>
      <c r="B426" s="905"/>
      <c r="C426" s="905"/>
      <c r="D426" s="905"/>
      <c r="E426" s="905"/>
      <c r="F426" s="905"/>
      <c r="G426" s="905"/>
      <c r="H426" s="905"/>
      <c r="I426" s="906"/>
      <c r="J426" s="37">
        <f>SUMIF(I117:I418,"=кап. ремонт",J118:J419)</f>
        <v>501138.83141552506</v>
      </c>
      <c r="K426" s="396" t="s">
        <v>32</v>
      </c>
      <c r="L426" s="896"/>
      <c r="M426" s="419"/>
      <c r="N426" s="396"/>
      <c r="O426" s="906"/>
      <c r="P426" s="37">
        <f>SUMIF(O117:O418,"=кап. ремонт",P118:P419)</f>
        <v>184638.39285714284</v>
      </c>
      <c r="Q426" s="396" t="s">
        <v>32</v>
      </c>
      <c r="R426" s="896"/>
      <c r="S426" s="396"/>
      <c r="T426" s="396"/>
      <c r="U426" s="906"/>
      <c r="V426" s="37">
        <f>SUMIF(U117:U418,"=кап. ремонт",V118:V419)</f>
        <v>780532.44273599854</v>
      </c>
      <c r="W426" s="396" t="s">
        <v>32</v>
      </c>
      <c r="X426" s="896"/>
      <c r="Y426" s="396"/>
      <c r="Z426" s="396"/>
      <c r="AA426" s="906"/>
      <c r="AB426" s="37">
        <f>SUMIF(AA117:AA418,"=кап. ремонт",AB118:AB419)</f>
        <v>872781.51013083977</v>
      </c>
      <c r="AC426" s="396" t="s">
        <v>32</v>
      </c>
      <c r="AD426" s="896"/>
      <c r="AE426" s="396"/>
      <c r="AF426" s="396"/>
      <c r="AG426" s="906"/>
      <c r="AH426" s="37">
        <f>SUMIF(AG117:AG418,"=кап. ремонт",AH118:AH419)</f>
        <v>254823.62142857141</v>
      </c>
      <c r="AI426" s="396" t="s">
        <v>32</v>
      </c>
      <c r="AJ426" s="896"/>
      <c r="AK426" s="396"/>
      <c r="AL426" s="396"/>
      <c r="AM426" s="906"/>
      <c r="AN426" s="37">
        <f>SUMIF(AM117:AM418,"=кап. ремонт",AN118:AN419)</f>
        <v>331959.78282103082</v>
      </c>
      <c r="AO426" s="396" t="s">
        <v>32</v>
      </c>
      <c r="AP426" s="896"/>
      <c r="AQ426" s="634"/>
      <c r="AR426" s="606"/>
      <c r="AS426" s="394"/>
      <c r="AT426" s="393"/>
      <c r="AU426" s="395"/>
      <c r="AV426" s="278"/>
      <c r="AW426" s="278"/>
      <c r="AX426" s="278"/>
      <c r="AY426" s="278"/>
      <c r="AZ426" s="278"/>
      <c r="BA426" s="278"/>
      <c r="BB426" s="278"/>
      <c r="BC426" s="278"/>
      <c r="BD426" s="278"/>
    </row>
    <row r="427" spans="1:56">
      <c r="A427" s="904"/>
      <c r="B427" s="905"/>
      <c r="C427" s="905"/>
      <c r="D427" s="905"/>
      <c r="E427" s="905"/>
      <c r="F427" s="905"/>
      <c r="G427" s="905"/>
      <c r="H427" s="905"/>
      <c r="I427" s="906" t="s">
        <v>116</v>
      </c>
      <c r="J427" s="38">
        <f>SUMIF(I117:I418,"=реконструкция",J117:J418)</f>
        <v>0</v>
      </c>
      <c r="K427" s="396" t="s">
        <v>17</v>
      </c>
      <c r="L427" s="896">
        <f>SUMIF(I117:I418,"=реконструкция",L117:L418)+SUMIF(I117:I418,"=реконструкция",L118:L419)</f>
        <v>0</v>
      </c>
      <c r="M427" s="419"/>
      <c r="N427" s="396"/>
      <c r="O427" s="906" t="s">
        <v>116</v>
      </c>
      <c r="P427" s="38">
        <f>SUMIF(O117:O418,"=реконструкция",P117:P418)</f>
        <v>0</v>
      </c>
      <c r="Q427" s="396" t="s">
        <v>17</v>
      </c>
      <c r="R427" s="896">
        <f>SUMIF(O117:O418,"=реконструкция",R117:R418)+SUMIF(O117:O418,"=реконструкция",R118:R419)</f>
        <v>0</v>
      </c>
      <c r="S427" s="396"/>
      <c r="T427" s="396"/>
      <c r="U427" s="906" t="s">
        <v>116</v>
      </c>
      <c r="V427" s="38">
        <f>SUMIF(U117:U418,"=реконструкция",V117:V418)</f>
        <v>1.2</v>
      </c>
      <c r="W427" s="396" t="s">
        <v>17</v>
      </c>
      <c r="X427" s="896">
        <f>SUMIF(U117:U418,"=реконструкция",X117:X418)+SUMIF(U117:U418,"=реконструкция",X118:X419)</f>
        <v>80000</v>
      </c>
      <c r="Y427" s="396"/>
      <c r="Z427" s="396"/>
      <c r="AA427" s="906" t="s">
        <v>116</v>
      </c>
      <c r="AB427" s="38">
        <f>SUMIF(AA117:AA418,"=реконструкция",AB117:AB418)</f>
        <v>0</v>
      </c>
      <c r="AC427" s="396" t="s">
        <v>17</v>
      </c>
      <c r="AD427" s="896">
        <f>SUMIF(AA117:AA418,"=реконструкция",AD117:AD418)+SUMIF(AA117:AA418,"=реконструкция",AD118:AD419)</f>
        <v>0</v>
      </c>
      <c r="AE427" s="396"/>
      <c r="AF427" s="396"/>
      <c r="AG427" s="906" t="s">
        <v>116</v>
      </c>
      <c r="AH427" s="38">
        <f>SUMIF(AG117:AG418,"=реконструкция",AH117:AH418)</f>
        <v>0</v>
      </c>
      <c r="AI427" s="396" t="s">
        <v>17</v>
      </c>
      <c r="AJ427" s="896">
        <f>SUMIF(AG117:AG418,"=реконструкция",AJ117:AJ418)+SUMIF(AG117:AG418,"=реконструкция",AJ118:AJ419)</f>
        <v>0</v>
      </c>
      <c r="AK427" s="396"/>
      <c r="AL427" s="396"/>
      <c r="AM427" s="906" t="s">
        <v>116</v>
      </c>
      <c r="AN427" s="38">
        <f>SUMIF(AM117:AM418,"=реконструкция",AN117:AN418)</f>
        <v>0</v>
      </c>
      <c r="AO427" s="396" t="s">
        <v>17</v>
      </c>
      <c r="AP427" s="896">
        <f>SUMIF(AM117:AM418,"=реконструкция",AP117:AP418)+SUMIF(AM117:AM418,"=реконструкция",AP118:AP419)</f>
        <v>0</v>
      </c>
      <c r="AQ427" s="634"/>
      <c r="AR427" s="606"/>
      <c r="AS427" s="394"/>
      <c r="AT427" s="393"/>
      <c r="AU427" s="395"/>
      <c r="AV427" s="278"/>
      <c r="AW427" s="278"/>
      <c r="AX427" s="278"/>
      <c r="AY427" s="278"/>
      <c r="AZ427" s="278"/>
      <c r="BA427" s="278"/>
      <c r="BB427" s="278"/>
      <c r="BC427" s="278"/>
      <c r="BD427" s="278"/>
    </row>
    <row r="428" spans="1:56">
      <c r="A428" s="904"/>
      <c r="B428" s="905"/>
      <c r="C428" s="905"/>
      <c r="D428" s="905"/>
      <c r="E428" s="905"/>
      <c r="F428" s="905"/>
      <c r="G428" s="905"/>
      <c r="H428" s="905"/>
      <c r="I428" s="906"/>
      <c r="J428" s="38">
        <f>SUMIF(I117:I418,"=реконструкция",J118:J419)</f>
        <v>0</v>
      </c>
      <c r="K428" s="396" t="s">
        <v>32</v>
      </c>
      <c r="L428" s="896"/>
      <c r="M428" s="419"/>
      <c r="N428" s="396"/>
      <c r="O428" s="906"/>
      <c r="P428" s="38">
        <f>SUMIF(O117:O418,"=реконструкция",P118:P419)</f>
        <v>0</v>
      </c>
      <c r="Q428" s="396" t="s">
        <v>32</v>
      </c>
      <c r="R428" s="896"/>
      <c r="S428" s="396"/>
      <c r="T428" s="396"/>
      <c r="U428" s="906"/>
      <c r="V428" s="38">
        <f>SUMIF(U117:U418,"=реконструкция",V118:V419)</f>
        <v>8640</v>
      </c>
      <c r="W428" s="396" t="s">
        <v>32</v>
      </c>
      <c r="X428" s="896"/>
      <c r="Y428" s="396"/>
      <c r="Z428" s="396"/>
      <c r="AA428" s="906"/>
      <c r="AB428" s="38">
        <f>SUMIF(AA117:AA418,"=реконструкция",AB118:AB419)</f>
        <v>0</v>
      </c>
      <c r="AC428" s="396" t="s">
        <v>32</v>
      </c>
      <c r="AD428" s="896"/>
      <c r="AE428" s="396"/>
      <c r="AF428" s="396"/>
      <c r="AG428" s="906"/>
      <c r="AH428" s="38">
        <f>SUMIF(AG117:AG418,"=реконструкция",AH118:AH419)</f>
        <v>0</v>
      </c>
      <c r="AI428" s="396" t="s">
        <v>32</v>
      </c>
      <c r="AJ428" s="896"/>
      <c r="AK428" s="396"/>
      <c r="AL428" s="396"/>
      <c r="AM428" s="906"/>
      <c r="AN428" s="38">
        <f>SUMIF(AM117:AM418,"=реконструкция",AN118:AN419)</f>
        <v>0</v>
      </c>
      <c r="AO428" s="396" t="s">
        <v>32</v>
      </c>
      <c r="AP428" s="896"/>
      <c r="AQ428" s="634"/>
      <c r="AR428" s="606"/>
      <c r="AS428" s="394"/>
      <c r="AT428" s="393"/>
      <c r="AU428" s="395"/>
      <c r="AV428" s="278"/>
      <c r="AW428" s="278"/>
      <c r="AX428" s="278"/>
      <c r="AY428" s="278"/>
      <c r="AZ428" s="278"/>
      <c r="BA428" s="278"/>
      <c r="BB428" s="278"/>
      <c r="BC428" s="278"/>
      <c r="BD428" s="278"/>
    </row>
    <row r="429" spans="1:56">
      <c r="A429" s="904"/>
      <c r="B429" s="905"/>
      <c r="C429" s="905"/>
      <c r="D429" s="905"/>
      <c r="E429" s="905"/>
      <c r="F429" s="905"/>
      <c r="G429" s="905"/>
      <c r="H429" s="905"/>
      <c r="I429" s="906" t="s">
        <v>117</v>
      </c>
      <c r="J429" s="38">
        <f>SUMIF(I117:I418,"=строительство",J117:J418)</f>
        <v>0</v>
      </c>
      <c r="K429" s="396" t="s">
        <v>17</v>
      </c>
      <c r="L429" s="896">
        <f>SUMIF(I117:I418,"=строительство",L117:L418)+SUMIF(I117:I418,"=строительство",L118:L419)</f>
        <v>104782.45600000001</v>
      </c>
      <c r="M429" s="419"/>
      <c r="N429" s="396"/>
      <c r="O429" s="906" t="s">
        <v>117</v>
      </c>
      <c r="P429" s="38">
        <f>SUMIF(O117:O418,"=строительство",P117:P418)</f>
        <v>13.8</v>
      </c>
      <c r="Q429" s="396" t="s">
        <v>17</v>
      </c>
      <c r="R429" s="896">
        <f>SUMIF(O117:O418,"=строительство",R117:R418)+SUMIF(O117:O418,"=строительство",R118:R419)</f>
        <v>200670</v>
      </c>
      <c r="S429" s="396"/>
      <c r="T429" s="396"/>
      <c r="U429" s="906" t="s">
        <v>117</v>
      </c>
      <c r="V429" s="38">
        <f>SUMIF(U117:U418,"=строительство",V117:V418)</f>
        <v>0</v>
      </c>
      <c r="W429" s="396" t="s">
        <v>17</v>
      </c>
      <c r="X429" s="896">
        <f>SUMIF(U117:U418,"=строительство",X117:X418)+SUMIF(U117:U418,"=строительство",X118:X419)</f>
        <v>0</v>
      </c>
      <c r="Y429" s="396"/>
      <c r="Z429" s="396"/>
      <c r="AA429" s="906" t="s">
        <v>117</v>
      </c>
      <c r="AB429" s="38">
        <f>SUMIF(AA117:AA418,"=строительство",AB117:AB418)</f>
        <v>0</v>
      </c>
      <c r="AC429" s="396" t="s">
        <v>17</v>
      </c>
      <c r="AD429" s="896">
        <f>SUMIF(AA117:AA418,"=строительство",AD117:AD418)+SUMIF(AA117:AA418,"=строительство",AD118:AD419)</f>
        <v>0</v>
      </c>
      <c r="AE429" s="396"/>
      <c r="AF429" s="396"/>
      <c r="AG429" s="906" t="s">
        <v>117</v>
      </c>
      <c r="AH429" s="38">
        <f>SUMIF(AG117:AG418,"=строительство",AH117:AH418)</f>
        <v>4.5549999999999997</v>
      </c>
      <c r="AI429" s="396" t="s">
        <v>17</v>
      </c>
      <c r="AJ429" s="896">
        <f>SUMIF(AG117:AG418,"=строительство",AJ117:AJ418)+SUMIF(AG117:AG418,"=строительство",AJ118:AJ419)</f>
        <v>311565.99</v>
      </c>
      <c r="AK429" s="396"/>
      <c r="AL429" s="396"/>
      <c r="AM429" s="906" t="s">
        <v>117</v>
      </c>
      <c r="AN429" s="38">
        <f>SUMIF(AM117:AM418,"=строительство",AN117:AN418)</f>
        <v>6.7450000000000001</v>
      </c>
      <c r="AO429" s="396" t="s">
        <v>17</v>
      </c>
      <c r="AP429" s="896">
        <f>SUMIF(AM117:AM418,"=строительство",AP117:AP418)+SUMIF(AM117:AM418,"=строительство",AP118:AP419)</f>
        <v>460000</v>
      </c>
      <c r="AQ429" s="634"/>
      <c r="AR429" s="606"/>
      <c r="AS429" s="394"/>
      <c r="AT429" s="393"/>
      <c r="AU429" s="395"/>
      <c r="AV429" s="278"/>
      <c r="AW429" s="278"/>
      <c r="AX429" s="278"/>
      <c r="AY429" s="278"/>
      <c r="AZ429" s="278"/>
      <c r="BA429" s="278"/>
      <c r="BB429" s="278"/>
      <c r="BC429" s="278"/>
      <c r="BD429" s="278"/>
    </row>
    <row r="430" spans="1:56">
      <c r="A430" s="904"/>
      <c r="B430" s="905"/>
      <c r="C430" s="905"/>
      <c r="D430" s="905"/>
      <c r="E430" s="905"/>
      <c r="F430" s="905"/>
      <c r="G430" s="905"/>
      <c r="H430" s="905"/>
      <c r="I430" s="906"/>
      <c r="J430" s="38">
        <f>SUMIF(I117:I418,"=строительство",J118:J419)</f>
        <v>0</v>
      </c>
      <c r="K430" s="396" t="s">
        <v>32</v>
      </c>
      <c r="L430" s="896"/>
      <c r="M430" s="419"/>
      <c r="N430" s="396"/>
      <c r="O430" s="906"/>
      <c r="P430" s="38">
        <f>SUMIF(O117:O418,"=строительство",P118:P419)</f>
        <v>96600</v>
      </c>
      <c r="Q430" s="396" t="s">
        <v>32</v>
      </c>
      <c r="R430" s="896"/>
      <c r="S430" s="396"/>
      <c r="T430" s="396"/>
      <c r="U430" s="906"/>
      <c r="V430" s="38">
        <f>SUMIF(U117:U418,"=строительство",V118:V419)</f>
        <v>0</v>
      </c>
      <c r="W430" s="396" t="s">
        <v>32</v>
      </c>
      <c r="X430" s="896"/>
      <c r="Y430" s="396"/>
      <c r="Z430" s="396"/>
      <c r="AA430" s="906"/>
      <c r="AB430" s="38">
        <f>SUMIF(AA117:AA418,"=строительство",AB118:AB419)</f>
        <v>0</v>
      </c>
      <c r="AC430" s="396" t="s">
        <v>32</v>
      </c>
      <c r="AD430" s="896"/>
      <c r="AE430" s="396"/>
      <c r="AF430" s="396"/>
      <c r="AG430" s="906"/>
      <c r="AH430" s="38">
        <f>SUMIF(AG117:AG418,"=строительство",AH118:AH419)</f>
        <v>31884.999999999996</v>
      </c>
      <c r="AI430" s="396" t="s">
        <v>32</v>
      </c>
      <c r="AJ430" s="896"/>
      <c r="AK430" s="396"/>
      <c r="AL430" s="396"/>
      <c r="AM430" s="906"/>
      <c r="AN430" s="38">
        <f>SUMIF(AM117:AM418,"=строительство",AN118:AN419)</f>
        <v>47215</v>
      </c>
      <c r="AO430" s="396" t="s">
        <v>32</v>
      </c>
      <c r="AP430" s="896"/>
      <c r="AQ430" s="634"/>
      <c r="AR430" s="606"/>
      <c r="AS430" s="394"/>
      <c r="AT430" s="393"/>
      <c r="AU430" s="395"/>
      <c r="AV430" s="278"/>
      <c r="AW430" s="278"/>
      <c r="AX430" s="278"/>
      <c r="AY430" s="278"/>
      <c r="AZ430" s="278"/>
      <c r="BA430" s="278"/>
      <c r="BB430" s="278"/>
      <c r="BC430" s="278"/>
      <c r="BD430" s="278"/>
    </row>
    <row r="431" spans="1:56">
      <c r="A431" s="904"/>
      <c r="B431" s="905"/>
      <c r="C431" s="905"/>
      <c r="D431" s="905"/>
      <c r="E431" s="905"/>
      <c r="F431" s="905"/>
      <c r="G431" s="905"/>
      <c r="H431" s="905"/>
      <c r="I431" s="906" t="s">
        <v>462</v>
      </c>
      <c r="J431" s="38">
        <f>SUMIF(I117:I418,"=нанесение разметки",J117:J418)</f>
        <v>0</v>
      </c>
      <c r="K431" s="396" t="s">
        <v>32</v>
      </c>
      <c r="L431" s="896">
        <f>SUMIF(I117:I418,"=нанесение разметки",L117:L418)</f>
        <v>0</v>
      </c>
      <c r="M431" s="419"/>
      <c r="N431" s="396"/>
      <c r="O431" s="906" t="s">
        <v>462</v>
      </c>
      <c r="P431" s="38">
        <f>SUMIF(O117:O418,"=нанесение разметки",P117:P418)</f>
        <v>0</v>
      </c>
      <c r="Q431" s="396" t="s">
        <v>32</v>
      </c>
      <c r="R431" s="896">
        <f>SUMIF(O117:O418,"=нанесение разметки",R117:R418)</f>
        <v>0</v>
      </c>
      <c r="S431" s="396"/>
      <c r="T431" s="396"/>
      <c r="U431" s="906" t="s">
        <v>462</v>
      </c>
      <c r="V431" s="38">
        <f>SUMIF(U117:U418,"=нанесение разметки",V117:V418)</f>
        <v>0</v>
      </c>
      <c r="W431" s="396" t="s">
        <v>32</v>
      </c>
      <c r="X431" s="896">
        <f>SUMIF(U117:U418,"=нанесение разметки",X117:X418)</f>
        <v>0</v>
      </c>
      <c r="Y431" s="396"/>
      <c r="Z431" s="396"/>
      <c r="AA431" s="906" t="s">
        <v>462</v>
      </c>
      <c r="AB431" s="38">
        <f>SUMIF(AA117:AA418,"=нанесение разметки",AB117:AB418)</f>
        <v>0</v>
      </c>
      <c r="AC431" s="396" t="s">
        <v>32</v>
      </c>
      <c r="AD431" s="896">
        <f>SUMIF(AA117:AA418,"=нанесение разметки",AD117:AD418)</f>
        <v>0</v>
      </c>
      <c r="AE431" s="396"/>
      <c r="AF431" s="396"/>
      <c r="AG431" s="906" t="s">
        <v>462</v>
      </c>
      <c r="AH431" s="38">
        <f>SUMIF(AG117:AG418,"=нанесение разметки",AH117:AH418)</f>
        <v>0</v>
      </c>
      <c r="AI431" s="396" t="s">
        <v>32</v>
      </c>
      <c r="AJ431" s="896">
        <f>SUMIF(AG117:AG418,"=нанесение разметки",AJ117:AJ418)</f>
        <v>0</v>
      </c>
      <c r="AK431" s="396"/>
      <c r="AL431" s="396"/>
      <c r="AM431" s="906" t="s">
        <v>462</v>
      </c>
      <c r="AN431" s="38">
        <f>SUMIF(AM117:AM418,"=нанесение разметки",AN117:AN418)</f>
        <v>0</v>
      </c>
      <c r="AO431" s="396" t="s">
        <v>32</v>
      </c>
      <c r="AP431" s="896">
        <f>SUMIF(AM117:AM418,"=нанесение разметки",AP117:AP418)</f>
        <v>0</v>
      </c>
      <c r="AQ431" s="634"/>
      <c r="AR431" s="606"/>
      <c r="AS431" s="394"/>
      <c r="AT431" s="393"/>
      <c r="AU431" s="395"/>
      <c r="AV431" s="278"/>
      <c r="AW431" s="278"/>
      <c r="AX431" s="278"/>
      <c r="AY431" s="278"/>
      <c r="AZ431" s="278"/>
      <c r="BA431" s="278"/>
      <c r="BB431" s="278"/>
      <c r="BC431" s="278"/>
      <c r="BD431" s="278"/>
    </row>
    <row r="432" spans="1:56">
      <c r="A432" s="904"/>
      <c r="B432" s="905"/>
      <c r="C432" s="905"/>
      <c r="D432" s="905"/>
      <c r="E432" s="905"/>
      <c r="F432" s="905"/>
      <c r="G432" s="905"/>
      <c r="H432" s="905"/>
      <c r="I432" s="906"/>
      <c r="J432" s="38">
        <f>SUMIF(I117:I418,"=нанесение разметки",J118:J419)</f>
        <v>0</v>
      </c>
      <c r="K432" s="396" t="s">
        <v>17</v>
      </c>
      <c r="L432" s="896"/>
      <c r="M432" s="419"/>
      <c r="N432" s="396"/>
      <c r="O432" s="906"/>
      <c r="P432" s="38">
        <f>SUMIF(O117:O418,"=нанесение разметки",P118:P419)</f>
        <v>0</v>
      </c>
      <c r="Q432" s="396" t="s">
        <v>17</v>
      </c>
      <c r="R432" s="896"/>
      <c r="S432" s="396"/>
      <c r="T432" s="396"/>
      <c r="U432" s="906"/>
      <c r="V432" s="38">
        <f>SUMIF(U117:U418,"=нанесение разметки",V118:V419)</f>
        <v>0</v>
      </c>
      <c r="W432" s="396" t="s">
        <v>17</v>
      </c>
      <c r="X432" s="896"/>
      <c r="Y432" s="396"/>
      <c r="Z432" s="396"/>
      <c r="AA432" s="906"/>
      <c r="AB432" s="38">
        <f>SUMIF(AA117:AA418,"=нанесение разметки",AB118:AB419)</f>
        <v>0</v>
      </c>
      <c r="AC432" s="396" t="s">
        <v>17</v>
      </c>
      <c r="AD432" s="896"/>
      <c r="AE432" s="396"/>
      <c r="AF432" s="396"/>
      <c r="AG432" s="906"/>
      <c r="AH432" s="38">
        <f>SUMIF(AG117:AG418,"=нанесение разметки",AH118:AH419)</f>
        <v>0</v>
      </c>
      <c r="AI432" s="396" t="s">
        <v>17</v>
      </c>
      <c r="AJ432" s="896"/>
      <c r="AK432" s="396"/>
      <c r="AL432" s="396"/>
      <c r="AM432" s="906"/>
      <c r="AN432" s="38">
        <f>SUMIF(AM117:AM418,"=нанесение разметки",AN118:AN419)</f>
        <v>0</v>
      </c>
      <c r="AO432" s="396" t="s">
        <v>17</v>
      </c>
      <c r="AP432" s="896"/>
      <c r="AQ432" s="634"/>
      <c r="AR432" s="606"/>
      <c r="AS432" s="394"/>
      <c r="AT432" s="393"/>
      <c r="AU432" s="395"/>
      <c r="AV432" s="278"/>
      <c r="AW432" s="278"/>
      <c r="AX432" s="278"/>
      <c r="AY432" s="278"/>
      <c r="AZ432" s="278"/>
      <c r="BA432" s="278"/>
      <c r="BB432" s="278"/>
      <c r="BC432" s="278"/>
      <c r="BD432" s="278"/>
    </row>
    <row r="433" spans="1:56" ht="42.75">
      <c r="A433" s="904"/>
      <c r="B433" s="905"/>
      <c r="C433" s="905"/>
      <c r="D433" s="905"/>
      <c r="E433" s="905"/>
      <c r="F433" s="905"/>
      <c r="G433" s="905"/>
      <c r="H433" s="905"/>
      <c r="I433" s="397" t="s">
        <v>120</v>
      </c>
      <c r="J433" s="38">
        <f>SUMIF(I117:I418,"=устройство светофорных объектов",J117:J418)</f>
        <v>0</v>
      </c>
      <c r="K433" s="396" t="s">
        <v>118</v>
      </c>
      <c r="L433" s="420">
        <f>SUMIF(I117:I418,"=устройство светофорных объектов",L117:L418)</f>
        <v>0</v>
      </c>
      <c r="M433" s="419"/>
      <c r="N433" s="396"/>
      <c r="O433" s="397" t="s">
        <v>120</v>
      </c>
      <c r="P433" s="38">
        <f>SUMIF(O117:O418,"=устройство светофорных объектов",P117:P418)</f>
        <v>0</v>
      </c>
      <c r="Q433" s="396" t="s">
        <v>118</v>
      </c>
      <c r="R433" s="420">
        <f>SUMIF(O117:O418,"=устройство светофорных объектов",R117:R418)</f>
        <v>0</v>
      </c>
      <c r="S433" s="396"/>
      <c r="T433" s="396"/>
      <c r="U433" s="397" t="s">
        <v>120</v>
      </c>
      <c r="V433" s="38">
        <f>SUMIF(U117:U418,"=устройство светофорных объектов",V117:V418)</f>
        <v>0</v>
      </c>
      <c r="W433" s="396" t="s">
        <v>118</v>
      </c>
      <c r="X433" s="420">
        <f>SUMIF(U117:U418,"=устройство светофорных объектов",X117:X418)</f>
        <v>0</v>
      </c>
      <c r="Y433" s="396"/>
      <c r="Z433" s="396"/>
      <c r="AA433" s="397" t="s">
        <v>120</v>
      </c>
      <c r="AB433" s="38">
        <f>SUMIF(AA117:AA418,"=устройство светофорных объектов",AB117:AB418)</f>
        <v>0</v>
      </c>
      <c r="AC433" s="396" t="s">
        <v>118</v>
      </c>
      <c r="AD433" s="420">
        <f>SUMIF(AA117:AA418,"=устройство светофорных объектов",AD117:AD418)</f>
        <v>0</v>
      </c>
      <c r="AE433" s="396"/>
      <c r="AF433" s="396"/>
      <c r="AG433" s="397" t="s">
        <v>120</v>
      </c>
      <c r="AH433" s="38">
        <f>SUMIF(AG117:AG418,"=устройство светофорных объектов",AH117:AH418)</f>
        <v>0</v>
      </c>
      <c r="AI433" s="396" t="s">
        <v>118</v>
      </c>
      <c r="AJ433" s="420">
        <f>SUMIF(AG117:AG418,"=устройство светофорных объектов",AJ117:AJ418)</f>
        <v>0</v>
      </c>
      <c r="AK433" s="396"/>
      <c r="AL433" s="396"/>
      <c r="AM433" s="397" t="s">
        <v>120</v>
      </c>
      <c r="AN433" s="38">
        <f>SUMIF(AM117:AM418,"=устройство светофорных объектов",AN117:AN418)</f>
        <v>0</v>
      </c>
      <c r="AO433" s="396" t="s">
        <v>118</v>
      </c>
      <c r="AP433" s="420">
        <f>SUMIF(AM117:AM418,"=устройство светофорных объектов",AP117:AP418)</f>
        <v>0</v>
      </c>
      <c r="AQ433" s="634"/>
      <c r="AR433" s="606"/>
      <c r="AS433" s="394"/>
      <c r="AT433" s="393"/>
      <c r="AU433" s="395"/>
      <c r="AV433" s="278"/>
      <c r="AW433" s="278"/>
      <c r="AX433" s="278"/>
      <c r="AY433" s="278"/>
      <c r="AZ433" s="278"/>
      <c r="BA433" s="278"/>
      <c r="BB433" s="278"/>
      <c r="BC433" s="278"/>
      <c r="BD433" s="278"/>
    </row>
    <row r="434" spans="1:56" ht="28.5">
      <c r="A434" s="904"/>
      <c r="B434" s="905"/>
      <c r="C434" s="905"/>
      <c r="D434" s="905"/>
      <c r="E434" s="905"/>
      <c r="F434" s="905"/>
      <c r="G434" s="905"/>
      <c r="H434" s="905"/>
      <c r="I434" s="397" t="s">
        <v>93</v>
      </c>
      <c r="J434" s="38">
        <f>SUMIF(I117:I418,"=установка дорожных знаков",J117:J418)</f>
        <v>0</v>
      </c>
      <c r="K434" s="396" t="s">
        <v>118</v>
      </c>
      <c r="L434" s="420">
        <f>SUMIF(I337:I418,"=установка дорожных знаков",L337:L418)</f>
        <v>0</v>
      </c>
      <c r="M434" s="419"/>
      <c r="N434" s="396"/>
      <c r="O434" s="397" t="s">
        <v>93</v>
      </c>
      <c r="P434" s="38">
        <f>SUMIF(O117:O418,"=установка дорожных знаков",P117:P418)</f>
        <v>0</v>
      </c>
      <c r="Q434" s="396" t="s">
        <v>118</v>
      </c>
      <c r="R434" s="420">
        <f>SUMIF(O337:O418,"=установка дорожных знаков",R337:R418)</f>
        <v>0</v>
      </c>
      <c r="S434" s="396"/>
      <c r="T434" s="396"/>
      <c r="U434" s="397" t="s">
        <v>93</v>
      </c>
      <c r="V434" s="38">
        <f>SUMIF(U117:U418,"=установка дорожных знаков",V117:V418)</f>
        <v>0</v>
      </c>
      <c r="W434" s="396" t="s">
        <v>118</v>
      </c>
      <c r="X434" s="420">
        <f>SUMIF(U337:U418,"=установка дорожных знаков",X337:X418)</f>
        <v>0</v>
      </c>
      <c r="Y434" s="396"/>
      <c r="Z434" s="396"/>
      <c r="AA434" s="397" t="s">
        <v>93</v>
      </c>
      <c r="AB434" s="38">
        <f>SUMIF(AA117:AA418,"=установка дорожных знаков",AB117:AB418)</f>
        <v>0</v>
      </c>
      <c r="AC434" s="396" t="s">
        <v>118</v>
      </c>
      <c r="AD434" s="420">
        <f>SUMIF(AA337:AA418,"=установка дорожных знаков",AD337:AD418)</f>
        <v>0</v>
      </c>
      <c r="AE434" s="396"/>
      <c r="AF434" s="396"/>
      <c r="AG434" s="397" t="s">
        <v>93</v>
      </c>
      <c r="AH434" s="38">
        <f>SUMIF(AG117:AG418,"=установка дорожных знаков",AH117:AH418)</f>
        <v>0</v>
      </c>
      <c r="AI434" s="396" t="s">
        <v>118</v>
      </c>
      <c r="AJ434" s="420">
        <f>SUMIF(AG337:AG418,"=установка дорожных знаков",AJ337:AJ418)</f>
        <v>0</v>
      </c>
      <c r="AK434" s="396"/>
      <c r="AL434" s="396"/>
      <c r="AM434" s="397" t="s">
        <v>93</v>
      </c>
      <c r="AN434" s="38">
        <f>SUMIF(AM117:AM418,"=установка дорожных знаков",AN117:AN418)</f>
        <v>0</v>
      </c>
      <c r="AO434" s="396" t="s">
        <v>118</v>
      </c>
      <c r="AP434" s="420">
        <f>SUMIF(AM337:AM418,"=установка дорожных знаков",AP337:AP418)</f>
        <v>0</v>
      </c>
      <c r="AQ434" s="634"/>
      <c r="AR434" s="606"/>
      <c r="AS434" s="394"/>
      <c r="AT434" s="393"/>
      <c r="AU434" s="395"/>
      <c r="AV434" s="278"/>
      <c r="AW434" s="278"/>
      <c r="AX434" s="278"/>
      <c r="AY434" s="278"/>
      <c r="AZ434" s="278"/>
      <c r="BA434" s="278"/>
      <c r="BB434" s="278"/>
      <c r="BC434" s="278"/>
      <c r="BD434" s="278"/>
    </row>
    <row r="435" spans="1:56" ht="42.75">
      <c r="A435" s="904"/>
      <c r="B435" s="905"/>
      <c r="C435" s="905"/>
      <c r="D435" s="905"/>
      <c r="E435" s="905"/>
      <c r="F435" s="905"/>
      <c r="G435" s="905"/>
      <c r="H435" s="905"/>
      <c r="I435" s="397" t="s">
        <v>463</v>
      </c>
      <c r="J435" s="38">
        <f>SUMIF(I117:I418,"=установка барьерного ограждения",J117:J418)</f>
        <v>0</v>
      </c>
      <c r="K435" s="396" t="s">
        <v>2681</v>
      </c>
      <c r="L435" s="420">
        <f>SUMIF(I117:I418,"=установка барьерного ограждения",L117:L418)</f>
        <v>0</v>
      </c>
      <c r="M435" s="419"/>
      <c r="N435" s="396"/>
      <c r="O435" s="397" t="s">
        <v>463</v>
      </c>
      <c r="P435" s="38">
        <f>SUMIF(O117:O418,"=установка барьерного ограждения",P117:P418)</f>
        <v>0</v>
      </c>
      <c r="Q435" s="396" t="s">
        <v>2681</v>
      </c>
      <c r="R435" s="420">
        <f>SUMIF(O117:O418,"=установка барьерного ограждения",R117:R418)</f>
        <v>0</v>
      </c>
      <c r="S435" s="396"/>
      <c r="T435" s="396"/>
      <c r="U435" s="397" t="s">
        <v>463</v>
      </c>
      <c r="V435" s="38">
        <f>SUMIF(U117:U418,"=установка барьерного ограждения",V117:V418)</f>
        <v>0</v>
      </c>
      <c r="W435" s="396" t="s">
        <v>2681</v>
      </c>
      <c r="X435" s="420">
        <f>SUMIF(U117:U418,"=установка барьерного ограждения",X117:X418)</f>
        <v>0</v>
      </c>
      <c r="Y435" s="396"/>
      <c r="Z435" s="396"/>
      <c r="AA435" s="397" t="s">
        <v>463</v>
      </c>
      <c r="AB435" s="38">
        <f>SUMIF(AA117:AA418,"=установка барьерного ограждения",AB117:AB418)</f>
        <v>0</v>
      </c>
      <c r="AC435" s="396" t="s">
        <v>2681</v>
      </c>
      <c r="AD435" s="420">
        <f>SUMIF(AA117:AA418,"=установка барьерного ограждения",AD117:AD418)</f>
        <v>0</v>
      </c>
      <c r="AE435" s="396"/>
      <c r="AF435" s="396"/>
      <c r="AG435" s="397" t="s">
        <v>463</v>
      </c>
      <c r="AH435" s="38">
        <f>SUMIF(AG117:AG418,"=установка барьерного ограждения",AH117:AH418)</f>
        <v>0</v>
      </c>
      <c r="AI435" s="396" t="s">
        <v>2681</v>
      </c>
      <c r="AJ435" s="420">
        <f>SUMIF(AG117:AG418,"=установка барьерного ограждения",AJ117:AJ418)</f>
        <v>0</v>
      </c>
      <c r="AK435" s="396"/>
      <c r="AL435" s="396"/>
      <c r="AM435" s="397" t="s">
        <v>463</v>
      </c>
      <c r="AN435" s="38">
        <f>SUMIF(AM117:AM418,"=установка барьерного ограждения",AN117:AN418)</f>
        <v>0</v>
      </c>
      <c r="AO435" s="396" t="s">
        <v>2681</v>
      </c>
      <c r="AP435" s="420">
        <f>SUMIF(AM117:AM418,"=установка барьерного ограждения",AP117:AP418)</f>
        <v>0</v>
      </c>
      <c r="AQ435" s="634"/>
      <c r="AR435" s="606"/>
      <c r="AS435" s="394"/>
      <c r="AT435" s="393"/>
      <c r="AU435" s="395"/>
      <c r="AV435" s="278"/>
      <c r="AW435" s="278"/>
      <c r="AX435" s="278"/>
      <c r="AY435" s="278"/>
      <c r="AZ435" s="278"/>
      <c r="BA435" s="278"/>
      <c r="BB435" s="278"/>
      <c r="BC435" s="278"/>
      <c r="BD435" s="278"/>
    </row>
    <row r="436" spans="1:56">
      <c r="A436" s="904"/>
      <c r="B436" s="905"/>
      <c r="C436" s="905"/>
      <c r="D436" s="905"/>
      <c r="E436" s="905"/>
      <c r="F436" s="905"/>
      <c r="G436" s="905"/>
      <c r="H436" s="905"/>
      <c r="I436" s="397" t="s">
        <v>464</v>
      </c>
      <c r="J436" s="38">
        <f>SUMIF(I117:I418,"=ремонт тротуаров",J117:J418)</f>
        <v>0</v>
      </c>
      <c r="K436" s="396" t="s">
        <v>32</v>
      </c>
      <c r="L436" s="420">
        <f>SUMIF(I337:I418,"=ремонт тротуаров",L337:L418)</f>
        <v>0</v>
      </c>
      <c r="M436" s="419"/>
      <c r="N436" s="396"/>
      <c r="O436" s="397" t="s">
        <v>464</v>
      </c>
      <c r="P436" s="38">
        <f>SUMIF(O117:O418,"=ремонт тротуаров",P117:P418)</f>
        <v>0</v>
      </c>
      <c r="Q436" s="396" t="s">
        <v>32</v>
      </c>
      <c r="R436" s="420">
        <f>SUMIF(O337:O418,"=ремонт тротуаров",R337:R418)</f>
        <v>0</v>
      </c>
      <c r="S436" s="396"/>
      <c r="T436" s="396"/>
      <c r="U436" s="397" t="s">
        <v>464</v>
      </c>
      <c r="V436" s="38">
        <f>SUMIF(U117:U418,"=ремонт тротуаров",V117:V418)</f>
        <v>0</v>
      </c>
      <c r="W436" s="396" t="s">
        <v>32</v>
      </c>
      <c r="X436" s="420">
        <f>SUMIF(U337:U418,"=ремонт тротуаров",X337:X418)</f>
        <v>0</v>
      </c>
      <c r="Y436" s="396"/>
      <c r="Z436" s="396"/>
      <c r="AA436" s="397" t="s">
        <v>464</v>
      </c>
      <c r="AB436" s="38">
        <f>SUMIF(AA117:AA418,"=ремонт тротуаров",AB117:AB418)</f>
        <v>0</v>
      </c>
      <c r="AC436" s="396" t="s">
        <v>32</v>
      </c>
      <c r="AD436" s="420">
        <f>SUMIF(AA337:AA418,"=ремонт тротуаров",AD337:AD418)</f>
        <v>0</v>
      </c>
      <c r="AE436" s="396"/>
      <c r="AF436" s="396"/>
      <c r="AG436" s="397" t="s">
        <v>464</v>
      </c>
      <c r="AH436" s="38">
        <f>SUMIF(AG117:AG418,"=ремонт тротуаров",AH117:AH418)</f>
        <v>0</v>
      </c>
      <c r="AI436" s="396" t="s">
        <v>32</v>
      </c>
      <c r="AJ436" s="420">
        <f>SUMIF(AG337:AG418,"=ремонт тротуаров",AJ337:AJ418)</f>
        <v>0</v>
      </c>
      <c r="AK436" s="396"/>
      <c r="AL436" s="396"/>
      <c r="AM436" s="397" t="s">
        <v>464</v>
      </c>
      <c r="AN436" s="38">
        <f>SUMIF(AM117:AM418,"=ремонт тротуаров",AN117:AN418)</f>
        <v>0</v>
      </c>
      <c r="AO436" s="396" t="s">
        <v>32</v>
      </c>
      <c r="AP436" s="420">
        <f>SUMIF(AM337:AM418,"=ремонт тротуаров",AP337:AP418)</f>
        <v>0</v>
      </c>
      <c r="AQ436" s="634"/>
      <c r="AR436" s="606"/>
      <c r="AS436" s="394"/>
      <c r="AT436" s="393"/>
      <c r="AU436" s="395"/>
      <c r="AV436" s="278"/>
      <c r="AW436" s="278"/>
      <c r="AX436" s="278"/>
      <c r="AY436" s="278"/>
      <c r="AZ436" s="278"/>
      <c r="BA436" s="278"/>
      <c r="BB436" s="278"/>
      <c r="BC436" s="278"/>
      <c r="BD436" s="278"/>
    </row>
    <row r="437" spans="1:56" ht="28.5">
      <c r="A437" s="904"/>
      <c r="B437" s="905"/>
      <c r="C437" s="905"/>
      <c r="D437" s="905"/>
      <c r="E437" s="905"/>
      <c r="F437" s="905"/>
      <c r="G437" s="905"/>
      <c r="H437" s="905"/>
      <c r="I437" s="397" t="s">
        <v>68</v>
      </c>
      <c r="J437" s="38">
        <f>SUMIF(I117:I418,"=устройство освещения",J117:J418)</f>
        <v>4220</v>
      </c>
      <c r="K437" s="396" t="s">
        <v>2681</v>
      </c>
      <c r="L437" s="420">
        <f>SUMIF(I117:I418,"=устройство освещения",L117:L418)</f>
        <v>14450</v>
      </c>
      <c r="M437" s="419"/>
      <c r="N437" s="396"/>
      <c r="O437" s="397" t="s">
        <v>68</v>
      </c>
      <c r="P437" s="38">
        <f>SUMIF(O117:O418,"=устройство освещения",P117:P418)</f>
        <v>0</v>
      </c>
      <c r="Q437" s="396" t="s">
        <v>2681</v>
      </c>
      <c r="R437" s="420">
        <f>SUMIF(O117:O418,"=устройство освещения",R117:R418)</f>
        <v>0</v>
      </c>
      <c r="S437" s="396"/>
      <c r="T437" s="396"/>
      <c r="U437" s="397" t="s">
        <v>68</v>
      </c>
      <c r="V437" s="38">
        <f>SUMIF(U117:U418,"=устройство освещения",V117:V418)</f>
        <v>0</v>
      </c>
      <c r="W437" s="396" t="s">
        <v>2681</v>
      </c>
      <c r="X437" s="420">
        <f>SUMIF(U117:U418,"=устройство освещения",X117:X418)</f>
        <v>0</v>
      </c>
      <c r="Y437" s="396"/>
      <c r="Z437" s="396"/>
      <c r="AA437" s="397" t="s">
        <v>68</v>
      </c>
      <c r="AB437" s="38">
        <f>SUMIF(AA117:AA418,"=устройство освещения",AB117:AB418)</f>
        <v>0</v>
      </c>
      <c r="AC437" s="396" t="s">
        <v>2681</v>
      </c>
      <c r="AD437" s="420">
        <f>SUMIF(AA117:AA418,"=устройство освещения",AD117:AD418)</f>
        <v>0</v>
      </c>
      <c r="AE437" s="396"/>
      <c r="AF437" s="396"/>
      <c r="AG437" s="397" t="s">
        <v>68</v>
      </c>
      <c r="AH437" s="38">
        <f>SUMIF(AG117:AG418,"=устройство освещения",AH117:AH418)</f>
        <v>0</v>
      </c>
      <c r="AI437" s="396" t="s">
        <v>2681</v>
      </c>
      <c r="AJ437" s="420">
        <f>SUMIF(AG117:AG418,"=устройство освещения",AJ117:AJ418)</f>
        <v>0</v>
      </c>
      <c r="AK437" s="396"/>
      <c r="AL437" s="396"/>
      <c r="AM437" s="397" t="s">
        <v>68</v>
      </c>
      <c r="AN437" s="38">
        <f>SUMIF(AM117:AM418,"=устройство освещения",AN117:AN418)</f>
        <v>0</v>
      </c>
      <c r="AO437" s="396" t="s">
        <v>2681</v>
      </c>
      <c r="AP437" s="420">
        <f>SUMIF(AM117:AM418,"=устройство освещения",AP117:AP418)</f>
        <v>0</v>
      </c>
      <c r="AQ437" s="634"/>
      <c r="AR437" s="606"/>
      <c r="AS437" s="394"/>
      <c r="AT437" s="393"/>
      <c r="AU437" s="395"/>
      <c r="AV437" s="278"/>
      <c r="AW437" s="278"/>
      <c r="AX437" s="278"/>
      <c r="AY437" s="278"/>
      <c r="AZ437" s="278"/>
      <c r="BA437" s="278"/>
      <c r="BB437" s="278"/>
      <c r="BC437" s="278"/>
      <c r="BD437" s="278"/>
    </row>
    <row r="438" spans="1:56" ht="42.75">
      <c r="A438" s="904"/>
      <c r="B438" s="905"/>
      <c r="C438" s="905"/>
      <c r="D438" s="905"/>
      <c r="E438" s="905"/>
      <c r="F438" s="905"/>
      <c r="G438" s="905"/>
      <c r="H438" s="905"/>
      <c r="I438" s="397" t="s">
        <v>465</v>
      </c>
      <c r="J438" s="38">
        <f>SUMIF(I117:I418,"=установка направляющих устройств",J117:J418)</f>
        <v>0</v>
      </c>
      <c r="K438" s="396" t="s">
        <v>2681</v>
      </c>
      <c r="L438" s="420">
        <f>SUMIF(I337:I418,"=установка направляющих устройств",L337:L418)</f>
        <v>0</v>
      </c>
      <c r="M438" s="419"/>
      <c r="N438" s="396"/>
      <c r="O438" s="397" t="s">
        <v>465</v>
      </c>
      <c r="P438" s="38">
        <f>SUMIF(O117:O418,"=установка направляющих устройств",P117:P418)</f>
        <v>0</v>
      </c>
      <c r="Q438" s="396" t="s">
        <v>2681</v>
      </c>
      <c r="R438" s="420">
        <f>SUMIF(O337:O418,"=установка направляющих устройств",R337:R418)</f>
        <v>0</v>
      </c>
      <c r="S438" s="396"/>
      <c r="T438" s="396"/>
      <c r="U438" s="397" t="s">
        <v>465</v>
      </c>
      <c r="V438" s="38">
        <f>SUMIF(U117:U418,"=установка направляющих устройств",V117:V418)</f>
        <v>0</v>
      </c>
      <c r="W438" s="396" t="s">
        <v>2681</v>
      </c>
      <c r="X438" s="420">
        <f>SUMIF(U337:U418,"=установка направляющих устройств",X337:X418)</f>
        <v>0</v>
      </c>
      <c r="Y438" s="396"/>
      <c r="Z438" s="396"/>
      <c r="AA438" s="397" t="s">
        <v>465</v>
      </c>
      <c r="AB438" s="38">
        <f>SUMIF(AA117:AA418,"=установка направляющих устройств",AB117:AB418)</f>
        <v>0</v>
      </c>
      <c r="AC438" s="396" t="s">
        <v>2681</v>
      </c>
      <c r="AD438" s="420">
        <f>SUMIF(AA337:AA418,"=установка направляющих устройств",AD337:AD418)</f>
        <v>0</v>
      </c>
      <c r="AE438" s="396"/>
      <c r="AF438" s="396"/>
      <c r="AG438" s="397" t="s">
        <v>465</v>
      </c>
      <c r="AH438" s="38">
        <f>SUMIF(AG117:AG418,"=установка направляющих устройств",AH117:AH418)</f>
        <v>0</v>
      </c>
      <c r="AI438" s="396" t="s">
        <v>2681</v>
      </c>
      <c r="AJ438" s="420">
        <f>SUMIF(AG337:AG418,"=установка направляющих устройств",AJ337:AJ418)</f>
        <v>0</v>
      </c>
      <c r="AK438" s="396"/>
      <c r="AL438" s="396"/>
      <c r="AM438" s="397" t="s">
        <v>465</v>
      </c>
      <c r="AN438" s="38">
        <f>SUMIF(AM117:AM418,"=установка направляющих устройств",AN117:AN418)</f>
        <v>0</v>
      </c>
      <c r="AO438" s="396" t="s">
        <v>2681</v>
      </c>
      <c r="AP438" s="420">
        <f>SUMIF(AM337:AM418,"=установка направляющих устройств",AP337:AP418)</f>
        <v>0</v>
      </c>
      <c r="AQ438" s="634"/>
      <c r="AR438" s="606"/>
      <c r="AS438" s="394"/>
      <c r="AT438" s="393"/>
      <c r="AU438" s="395"/>
      <c r="AV438" s="278"/>
      <c r="AW438" s="278"/>
      <c r="AX438" s="278"/>
      <c r="AY438" s="278"/>
      <c r="AZ438" s="278"/>
      <c r="BA438" s="278"/>
      <c r="BB438" s="278"/>
      <c r="BC438" s="278"/>
      <c r="BD438" s="278"/>
    </row>
    <row r="439" spans="1:56" ht="28.5">
      <c r="A439" s="904"/>
      <c r="B439" s="905"/>
      <c r="C439" s="905"/>
      <c r="D439" s="905"/>
      <c r="E439" s="905"/>
      <c r="F439" s="905"/>
      <c r="G439" s="905"/>
      <c r="H439" s="905"/>
      <c r="I439" s="397" t="s">
        <v>112</v>
      </c>
      <c r="J439" s="38">
        <f>SUMIF(I420:I421,"=укладка слоев износа",J420:J421)</f>
        <v>0</v>
      </c>
      <c r="K439" s="396" t="s">
        <v>32</v>
      </c>
      <c r="L439" s="420">
        <f>SUMIF(I420:I421,"=укладка слоев износа",L420:L421)</f>
        <v>0</v>
      </c>
      <c r="M439" s="419"/>
      <c r="N439" s="396"/>
      <c r="O439" s="397" t="s">
        <v>112</v>
      </c>
      <c r="P439" s="38">
        <f>SUMIF(O420:O421,"=укладка слоев износа",P420:P421)</f>
        <v>0</v>
      </c>
      <c r="Q439" s="396" t="s">
        <v>32</v>
      </c>
      <c r="R439" s="420">
        <f>SUMIF(O420:O421,"=укладка слоев износа",R420:R421)</f>
        <v>0</v>
      </c>
      <c r="S439" s="396"/>
      <c r="T439" s="396"/>
      <c r="U439" s="397" t="s">
        <v>112</v>
      </c>
      <c r="V439" s="38">
        <f>SUMIF(U420:U421,"=укладка слоев износа",V420:V421)</f>
        <v>0</v>
      </c>
      <c r="W439" s="396" t="s">
        <v>32</v>
      </c>
      <c r="X439" s="420">
        <f>SUMIF(U420:U421,"=укладка слоев износа",X420:X421)</f>
        <v>0</v>
      </c>
      <c r="Y439" s="396"/>
      <c r="Z439" s="396"/>
      <c r="AA439" s="397" t="s">
        <v>112</v>
      </c>
      <c r="AB439" s="38">
        <f>SUMIF(AA420:AA421,"=укладка слоев износа",AB420:AB421)</f>
        <v>0</v>
      </c>
      <c r="AC439" s="396" t="s">
        <v>32</v>
      </c>
      <c r="AD439" s="420">
        <f>SUMIF(AA420:AA421,"=укладка слоев износа",AD420:AD421)</f>
        <v>0</v>
      </c>
      <c r="AE439" s="396"/>
      <c r="AF439" s="396"/>
      <c r="AG439" s="397" t="s">
        <v>112</v>
      </c>
      <c r="AH439" s="38">
        <f>SUMIF(AG420:AG421,"=укладка слоев износа",AH420:AH421)</f>
        <v>266.10000000000002</v>
      </c>
      <c r="AI439" s="396" t="s">
        <v>32</v>
      </c>
      <c r="AJ439" s="420">
        <f>SUMIF(AG420:AG421,"=укладка слоев износа",AJ420:AJ421)</f>
        <v>500000</v>
      </c>
      <c r="AK439" s="396"/>
      <c r="AL439" s="396"/>
      <c r="AM439" s="397" t="s">
        <v>112</v>
      </c>
      <c r="AN439" s="38">
        <f>SUMIF(AM420:AM421,"=укладка слоев износа",AN420:AN421)</f>
        <v>266.10000000000002</v>
      </c>
      <c r="AO439" s="396" t="s">
        <v>32</v>
      </c>
      <c r="AP439" s="420">
        <f>SUMIF(AM420:AM421,"=укладка слоев износа",AP420:AP421)</f>
        <v>2999761.6938510002</v>
      </c>
      <c r="AQ439" s="634"/>
      <c r="AR439" s="606"/>
      <c r="AS439" s="394"/>
      <c r="AT439" s="393"/>
      <c r="AU439" s="395"/>
      <c r="AV439" s="278"/>
      <c r="AW439" s="278"/>
      <c r="AX439" s="278"/>
      <c r="AY439" s="278"/>
      <c r="AZ439" s="278"/>
      <c r="BA439" s="278"/>
      <c r="BB439" s="278"/>
      <c r="BC439" s="278"/>
      <c r="BD439" s="278"/>
    </row>
    <row r="440" spans="1:56" ht="42.75">
      <c r="A440" s="904"/>
      <c r="B440" s="905"/>
      <c r="C440" s="905"/>
      <c r="D440" s="905"/>
      <c r="E440" s="905"/>
      <c r="F440" s="905"/>
      <c r="G440" s="905"/>
      <c r="H440" s="905"/>
      <c r="I440" s="397" t="s">
        <v>466</v>
      </c>
      <c r="J440" s="38">
        <f>SUMIF(I420:I421,"=шероховатая поверхностная обработка",J420:J421)</f>
        <v>0</v>
      </c>
      <c r="K440" s="396" t="s">
        <v>32</v>
      </c>
      <c r="L440" s="420">
        <f>SUMIF(I420:I421,"=шероховатая поверхностная обработка",L420:L421)</f>
        <v>0</v>
      </c>
      <c r="M440" s="419"/>
      <c r="N440" s="396"/>
      <c r="O440" s="397" t="s">
        <v>466</v>
      </c>
      <c r="P440" s="38">
        <f>SUMIF(O420:O421,"=шероховатая поверхностная обработка",P420:P421)</f>
        <v>0</v>
      </c>
      <c r="Q440" s="396" t="s">
        <v>32</v>
      </c>
      <c r="R440" s="420">
        <f>SUMIF(O420:O421,"=шероховатая поверхностная обработка",R420:R421)</f>
        <v>0</v>
      </c>
      <c r="S440" s="396"/>
      <c r="T440" s="396"/>
      <c r="U440" s="397" t="s">
        <v>466</v>
      </c>
      <c r="V440" s="38">
        <f>SUMIF(U420:U421,"=шероховатая поверхностная обработка",V420:V421)</f>
        <v>0</v>
      </c>
      <c r="W440" s="396" t="s">
        <v>32</v>
      </c>
      <c r="X440" s="420">
        <f>SUMIF(U420:U421,"=шероховатая поверхностная обработка",X420:X421)</f>
        <v>0</v>
      </c>
      <c r="Y440" s="396"/>
      <c r="Z440" s="396"/>
      <c r="AA440" s="397" t="s">
        <v>466</v>
      </c>
      <c r="AB440" s="38">
        <f>SUMIF(AA420:AA421,"=шероховатая поверхностная обработка",AB420:AB421)</f>
        <v>0</v>
      </c>
      <c r="AC440" s="396" t="s">
        <v>32</v>
      </c>
      <c r="AD440" s="420">
        <f>SUMIF(AA420:AA421,"=шероховатая поверхностная обработка",AD420:AD421)</f>
        <v>0</v>
      </c>
      <c r="AE440" s="396"/>
      <c r="AF440" s="396"/>
      <c r="AG440" s="397" t="s">
        <v>466</v>
      </c>
      <c r="AH440" s="38">
        <f>SUMIF(AG420:AG421,"=шероховатая поверхностная обработка",AH420:AH421)</f>
        <v>0</v>
      </c>
      <c r="AI440" s="396" t="s">
        <v>32</v>
      </c>
      <c r="AJ440" s="420">
        <f>SUMIF(AG420:AG421,"=шероховатая поверхностная обработка",AJ420:AJ421)</f>
        <v>0</v>
      </c>
      <c r="AK440" s="396"/>
      <c r="AL440" s="396"/>
      <c r="AM440" s="397" t="s">
        <v>466</v>
      </c>
      <c r="AN440" s="38">
        <f>SUMIF(AM420:AM421,"=шероховатая поверхностная обработка",AN420:AN421)</f>
        <v>0</v>
      </c>
      <c r="AO440" s="396" t="s">
        <v>32</v>
      </c>
      <c r="AP440" s="420">
        <f>SUMIF(AM420:AM421,"=шероховатая поверхностная обработка",AP420:AP421)</f>
        <v>0</v>
      </c>
      <c r="AQ440" s="634"/>
      <c r="AR440" s="606"/>
      <c r="AS440" s="394"/>
      <c r="AT440" s="393"/>
      <c r="AU440" s="395"/>
      <c r="AV440" s="278"/>
      <c r="AW440" s="278"/>
      <c r="AX440" s="278"/>
      <c r="AY440" s="278"/>
      <c r="AZ440" s="278"/>
      <c r="BA440" s="278"/>
      <c r="BB440" s="278"/>
      <c r="BC440" s="278"/>
      <c r="BD440" s="278"/>
    </row>
    <row r="441" spans="1:56" ht="42.75">
      <c r="A441" s="904"/>
      <c r="B441" s="905"/>
      <c r="C441" s="905"/>
      <c r="D441" s="905"/>
      <c r="E441" s="905"/>
      <c r="F441" s="905"/>
      <c r="G441" s="905"/>
      <c r="H441" s="905"/>
      <c r="I441" s="397" t="s">
        <v>467</v>
      </c>
      <c r="J441" s="38">
        <f>SUMIF(I420:I421,"=обработка защитной пропиткой",J420:J421)</f>
        <v>0</v>
      </c>
      <c r="K441" s="396" t="s">
        <v>32</v>
      </c>
      <c r="L441" s="420">
        <f>SUMIF(I420:I421,"=обработка защитной пропиткой",L420:L421)</f>
        <v>0</v>
      </c>
      <c r="M441" s="419"/>
      <c r="N441" s="396"/>
      <c r="O441" s="397" t="s">
        <v>467</v>
      </c>
      <c r="P441" s="38">
        <f>SUMIF(O420:O421,"=обработка защитной пропиткой",P420:P421)</f>
        <v>0</v>
      </c>
      <c r="Q441" s="396" t="s">
        <v>32</v>
      </c>
      <c r="R441" s="420">
        <f>SUMIF(O420:O421,"=обработка защитной пропиткой",R420:R421)</f>
        <v>0</v>
      </c>
      <c r="S441" s="396"/>
      <c r="T441" s="396"/>
      <c r="U441" s="397" t="s">
        <v>467</v>
      </c>
      <c r="V441" s="38">
        <f>SUMIF(U420:U421,"=обработка защитной пропиткой",V420:V421)</f>
        <v>0</v>
      </c>
      <c r="W441" s="396" t="s">
        <v>32</v>
      </c>
      <c r="X441" s="420">
        <f>SUMIF(U420:U421,"=обработка защитной пропиткой",X420:X421)</f>
        <v>0</v>
      </c>
      <c r="Y441" s="396"/>
      <c r="Z441" s="396"/>
      <c r="AA441" s="397" t="s">
        <v>467</v>
      </c>
      <c r="AB441" s="38">
        <f>SUMIF(AA420:AA421,"=обработка защитной пропиткой",AB420:AB421)</f>
        <v>0</v>
      </c>
      <c r="AC441" s="396" t="s">
        <v>32</v>
      </c>
      <c r="AD441" s="420">
        <f>SUMIF(AA420:AA421,"=обработка защитной пропиткой",AD420:AD421)</f>
        <v>0</v>
      </c>
      <c r="AE441" s="396"/>
      <c r="AF441" s="396"/>
      <c r="AG441" s="397" t="s">
        <v>467</v>
      </c>
      <c r="AH441" s="38">
        <f>SUMIF(AG420:AG421,"=обработка защитной пропиткой",AH420:AH421)</f>
        <v>0</v>
      </c>
      <c r="AI441" s="396" t="s">
        <v>32</v>
      </c>
      <c r="AJ441" s="420">
        <f>SUMIF(AG420:AG421,"=обработка защитной пропиткой",AJ420:AJ421)</f>
        <v>0</v>
      </c>
      <c r="AK441" s="396"/>
      <c r="AL441" s="396"/>
      <c r="AM441" s="397" t="s">
        <v>467</v>
      </c>
      <c r="AN441" s="38">
        <f>SUMIF(AM420:AM421,"=обработка защитной пропиткой",AN420:AN421)</f>
        <v>0</v>
      </c>
      <c r="AO441" s="396" t="s">
        <v>32</v>
      </c>
      <c r="AP441" s="420">
        <f>SUMIF(AM420:AM421,"=обработка защитной пропиткой",AP420:AP421)</f>
        <v>0</v>
      </c>
      <c r="AQ441" s="634"/>
      <c r="AR441" s="606"/>
      <c r="AS441" s="394"/>
      <c r="AT441" s="393"/>
      <c r="AU441" s="395"/>
      <c r="AV441" s="278"/>
      <c r="AW441" s="278"/>
      <c r="AX441" s="278"/>
      <c r="AY441" s="278"/>
      <c r="AZ441" s="278"/>
      <c r="BA441" s="278"/>
      <c r="BB441" s="278"/>
      <c r="BC441" s="278"/>
      <c r="BD441" s="278"/>
    </row>
    <row r="442" spans="1:56" ht="42.75">
      <c r="A442" s="904"/>
      <c r="B442" s="905"/>
      <c r="C442" s="905"/>
      <c r="D442" s="905"/>
      <c r="E442" s="905"/>
      <c r="F442" s="905"/>
      <c r="G442" s="905"/>
      <c r="H442" s="905"/>
      <c r="I442" s="397" t="s">
        <v>468</v>
      </c>
      <c r="J442" s="38">
        <f>SUMIF(I117:I418,"=установка водоотводных лотков",J117:J418)</f>
        <v>0</v>
      </c>
      <c r="K442" s="396" t="s">
        <v>118</v>
      </c>
      <c r="L442" s="420">
        <f>SUMIF(I117:I418,"=установка водоотводных лотков",L117:L418)</f>
        <v>0</v>
      </c>
      <c r="M442" s="419"/>
      <c r="N442" s="396"/>
      <c r="O442" s="397" t="s">
        <v>468</v>
      </c>
      <c r="P442" s="38">
        <f>SUMIF(O117:O418,"=установка водоотводных лотков",P117:P418)</f>
        <v>0</v>
      </c>
      <c r="Q442" s="396" t="s">
        <v>118</v>
      </c>
      <c r="R442" s="420">
        <f>SUMIF(O117:O418,"=установка водоотводных лотков",R117:R418)</f>
        <v>0</v>
      </c>
      <c r="S442" s="396"/>
      <c r="T442" s="396"/>
      <c r="U442" s="397" t="s">
        <v>468</v>
      </c>
      <c r="V442" s="38">
        <f>SUMIF(U117:U418,"=установка водоотводных лотков",V117:V418)</f>
        <v>0</v>
      </c>
      <c r="W442" s="396" t="s">
        <v>118</v>
      </c>
      <c r="X442" s="420">
        <f>SUMIF(U117:U418,"=установка водоотводных лотков",X117:X418)</f>
        <v>0</v>
      </c>
      <c r="Y442" s="396"/>
      <c r="Z442" s="396"/>
      <c r="AA442" s="397" t="s">
        <v>468</v>
      </c>
      <c r="AB442" s="38">
        <f>SUMIF(AA117:AA418,"=установка водоотводных лотков",AB117:AB418)</f>
        <v>0</v>
      </c>
      <c r="AC442" s="396" t="s">
        <v>118</v>
      </c>
      <c r="AD442" s="420">
        <f>SUMIF(AA117:AA418,"=установка водоотводных лотков",AD117:AD418)</f>
        <v>0</v>
      </c>
      <c r="AE442" s="396"/>
      <c r="AF442" s="396"/>
      <c r="AG442" s="397" t="s">
        <v>468</v>
      </c>
      <c r="AH442" s="38">
        <f>SUMIF(AG117:AG418,"=установка водоотводных лотков",AH117:AH418)</f>
        <v>0</v>
      </c>
      <c r="AI442" s="396" t="s">
        <v>118</v>
      </c>
      <c r="AJ442" s="420">
        <f>SUMIF(AG117:AG418,"=установка водоотводных лотков",AJ117:AJ418)</f>
        <v>0</v>
      </c>
      <c r="AK442" s="396"/>
      <c r="AL442" s="396"/>
      <c r="AM442" s="397" t="s">
        <v>468</v>
      </c>
      <c r="AN442" s="38">
        <f>SUMIF(AM117:AM418,"=установка водоотводных лотков",AN117:AN418)</f>
        <v>0</v>
      </c>
      <c r="AO442" s="396" t="s">
        <v>118</v>
      </c>
      <c r="AP442" s="420">
        <f>SUMIF(AM117:AM418,"=установка водоотводных лотков",AP117:AP418)</f>
        <v>0</v>
      </c>
      <c r="AQ442" s="634"/>
      <c r="AR442" s="606"/>
      <c r="AS442" s="394"/>
      <c r="AT442" s="393"/>
      <c r="AU442" s="395"/>
      <c r="AV442" s="278"/>
      <c r="AW442" s="278"/>
      <c r="AX442" s="278"/>
      <c r="AY442" s="278"/>
      <c r="AZ442" s="278"/>
      <c r="BA442" s="278"/>
      <c r="BB442" s="278"/>
      <c r="BC442" s="278"/>
      <c r="BD442" s="278"/>
    </row>
    <row r="443" spans="1:56" ht="42.75">
      <c r="A443" s="904"/>
      <c r="B443" s="905"/>
      <c r="C443" s="905"/>
      <c r="D443" s="905"/>
      <c r="E443" s="905"/>
      <c r="F443" s="905"/>
      <c r="G443" s="905"/>
      <c r="H443" s="905"/>
      <c r="I443" s="397" t="s">
        <v>469</v>
      </c>
      <c r="J443" s="38">
        <f>SUMIF(I117:I418,"=очистка водоотводных полос",J117:J418)</f>
        <v>0</v>
      </c>
      <c r="K443" s="396" t="s">
        <v>2681</v>
      </c>
      <c r="L443" s="420">
        <f>SUMIF(I117:I418,"=очистка водоотводных полос",L117:L418)</f>
        <v>0</v>
      </c>
      <c r="M443" s="419"/>
      <c r="N443" s="396"/>
      <c r="O443" s="397" t="s">
        <v>469</v>
      </c>
      <c r="P443" s="38">
        <f>SUMIF(O117:O418,"=очистка водоотводных полос",P117:P418)</f>
        <v>0</v>
      </c>
      <c r="Q443" s="396" t="s">
        <v>2681</v>
      </c>
      <c r="R443" s="420">
        <f>SUMIF(O117:O418,"=очистка водоотводных полос",R117:R418)</f>
        <v>0</v>
      </c>
      <c r="S443" s="396"/>
      <c r="T443" s="396"/>
      <c r="U443" s="397" t="s">
        <v>469</v>
      </c>
      <c r="V443" s="38">
        <f>SUMIF(U117:U418,"=очистка водоотводных полос",V117:V418)</f>
        <v>0</v>
      </c>
      <c r="W443" s="396" t="s">
        <v>2681</v>
      </c>
      <c r="X443" s="420">
        <f>SUMIF(U117:U418,"=очистка водоотводных полос",X117:X418)</f>
        <v>0</v>
      </c>
      <c r="Y443" s="396"/>
      <c r="Z443" s="396"/>
      <c r="AA443" s="397" t="s">
        <v>469</v>
      </c>
      <c r="AB443" s="38">
        <f>SUMIF(AA117:AA418,"=очистка водоотводных полос",AB117:AB418)</f>
        <v>0</v>
      </c>
      <c r="AC443" s="396" t="s">
        <v>2681</v>
      </c>
      <c r="AD443" s="420">
        <f>SUMIF(AA117:AA418,"=очистка водоотводных полос",AD117:AD418)</f>
        <v>0</v>
      </c>
      <c r="AE443" s="396"/>
      <c r="AF443" s="396"/>
      <c r="AG443" s="397" t="s">
        <v>469</v>
      </c>
      <c r="AH443" s="38">
        <f>SUMIF(AG117:AG418,"=очистка водоотводных полос",AH117:AH418)</f>
        <v>0</v>
      </c>
      <c r="AI443" s="396" t="s">
        <v>2681</v>
      </c>
      <c r="AJ443" s="420">
        <f>SUMIF(AG117:AG418,"=очистка водоотводных полос",AJ117:AJ418)</f>
        <v>0</v>
      </c>
      <c r="AK443" s="396"/>
      <c r="AL443" s="396"/>
      <c r="AM443" s="397" t="s">
        <v>469</v>
      </c>
      <c r="AN443" s="38">
        <f>SUMIF(AM117:AM418,"=очистка водоотводных полос",AN117:AN418)</f>
        <v>0</v>
      </c>
      <c r="AO443" s="396" t="s">
        <v>2681</v>
      </c>
      <c r="AP443" s="420">
        <f>SUMIF(AM117:AM418,"=очистка водоотводных полос",AP117:AP418)</f>
        <v>0</v>
      </c>
      <c r="AQ443" s="634"/>
      <c r="AR443" s="606"/>
      <c r="AS443" s="394"/>
      <c r="AT443" s="393"/>
      <c r="AU443" s="395"/>
      <c r="AV443" s="278"/>
      <c r="AW443" s="278"/>
      <c r="AX443" s="278"/>
      <c r="AY443" s="278"/>
      <c r="AZ443" s="278"/>
      <c r="BA443" s="278"/>
      <c r="BB443" s="278"/>
      <c r="BC443" s="278"/>
      <c r="BD443" s="278"/>
    </row>
    <row r="444" spans="1:56" ht="71.25">
      <c r="A444" s="904"/>
      <c r="B444" s="905"/>
      <c r="C444" s="905"/>
      <c r="D444" s="905"/>
      <c r="E444" s="905"/>
      <c r="F444" s="905"/>
      <c r="G444" s="905"/>
      <c r="H444" s="905"/>
      <c r="I444" s="397" t="s">
        <v>470</v>
      </c>
      <c r="J444" s="38">
        <f>SUMIF(I117:I418,"=установка камер автоматической фото- видеофиксации нарушения ПДД",J117:J418)</f>
        <v>0</v>
      </c>
      <c r="K444" s="396" t="s">
        <v>118</v>
      </c>
      <c r="L444" s="420">
        <f>SUMIF(I117:I418,"=установка камер автоматической фото- видеофиксации нарушения ПДД",L117:L418)</f>
        <v>0</v>
      </c>
      <c r="M444" s="419"/>
      <c r="N444" s="396"/>
      <c r="O444" s="397" t="s">
        <v>470</v>
      </c>
      <c r="P444" s="38">
        <f>SUMIF(O117:O418,"=установка камер автоматической фото- видеофиксации нарушения ПДД",P117:P418)</f>
        <v>0</v>
      </c>
      <c r="Q444" s="396" t="s">
        <v>118</v>
      </c>
      <c r="R444" s="420">
        <f>SUMIF(O117:O418,"=установка камер автоматической фото- видеофиксации нарушения ПДД",R117:R418)</f>
        <v>0</v>
      </c>
      <c r="S444" s="396"/>
      <c r="T444" s="396"/>
      <c r="U444" s="397" t="s">
        <v>470</v>
      </c>
      <c r="V444" s="38">
        <f>SUMIF(U117:U418,"=установка камер автоматической фото- видеофиксации нарушения ПДД",V117:V418)</f>
        <v>0</v>
      </c>
      <c r="W444" s="396" t="s">
        <v>118</v>
      </c>
      <c r="X444" s="420">
        <f>SUMIF(U117:U418,"=установка камер автоматической фото- видеофиксации нарушения ПДД",X117:X418)</f>
        <v>0</v>
      </c>
      <c r="Y444" s="396"/>
      <c r="Z444" s="396"/>
      <c r="AA444" s="397" t="s">
        <v>470</v>
      </c>
      <c r="AB444" s="38">
        <f>SUMIF(AA117:AA418,"=установка камер автоматической фото- видеофиксации нарушения ПДД",AB117:AB418)</f>
        <v>0</v>
      </c>
      <c r="AC444" s="396" t="s">
        <v>118</v>
      </c>
      <c r="AD444" s="420">
        <f>SUMIF(AA117:AA418,"=установка камер автоматической фото- видеофиксации нарушения ПДД",AD117:AD418)</f>
        <v>0</v>
      </c>
      <c r="AE444" s="396"/>
      <c r="AF444" s="396"/>
      <c r="AG444" s="397" t="s">
        <v>470</v>
      </c>
      <c r="AH444" s="38">
        <f>SUMIF(AG117:AG418,"=установка камер автоматической фото- видеофиксации нарушения ПДД",AH117:AH418)</f>
        <v>0</v>
      </c>
      <c r="AI444" s="396" t="s">
        <v>118</v>
      </c>
      <c r="AJ444" s="420">
        <f>SUMIF(AG117:AG418,"=установка камер автоматической фото- видеофиксации нарушения ПДД",AJ117:AJ418)</f>
        <v>0</v>
      </c>
      <c r="AK444" s="396"/>
      <c r="AL444" s="396"/>
      <c r="AM444" s="397" t="s">
        <v>470</v>
      </c>
      <c r="AN444" s="38">
        <f>SUMIF(AM117:AM418,"=установка камер автоматической фото- видеофиксации нарушения ПДД",AN117:AN418)</f>
        <v>0</v>
      </c>
      <c r="AO444" s="396" t="s">
        <v>118</v>
      </c>
      <c r="AP444" s="420">
        <f>SUMIF(AM117:AM418,"=установка камер автоматической фото- видеофиксации нарушения ПДД",AP117:AP418)</f>
        <v>0</v>
      </c>
      <c r="AQ444" s="634"/>
      <c r="AR444" s="606"/>
      <c r="AS444" s="394"/>
      <c r="AT444" s="393"/>
      <c r="AU444" s="395"/>
      <c r="AV444" s="278"/>
      <c r="AW444" s="278"/>
      <c r="AX444" s="278"/>
      <c r="AY444" s="278"/>
      <c r="AZ444" s="278"/>
      <c r="BA444" s="278"/>
      <c r="BB444" s="278"/>
      <c r="BC444" s="278"/>
      <c r="BD444" s="278"/>
    </row>
    <row r="445" spans="1:56">
      <c r="A445" s="904"/>
      <c r="B445" s="905"/>
      <c r="C445" s="905"/>
      <c r="D445" s="905"/>
      <c r="E445" s="905"/>
      <c r="F445" s="905"/>
      <c r="G445" s="905"/>
      <c r="H445" s="905"/>
      <c r="I445" s="397" t="s">
        <v>471</v>
      </c>
      <c r="J445" s="38">
        <f>SUMIF(I117:I418,"=иные виды работ",J117:J418)</f>
        <v>28</v>
      </c>
      <c r="K445" s="396"/>
      <c r="L445" s="505">
        <f>SUMIF(I117:I418,"=иные виды работ",L117:L418)</f>
        <v>1183.8779999999999</v>
      </c>
      <c r="M445" s="419"/>
      <c r="N445" s="396"/>
      <c r="O445" s="397" t="s">
        <v>471</v>
      </c>
      <c r="P445" s="38">
        <f>SUMIF(O117:O418,"=иные виды работ",P117:P418)</f>
        <v>0</v>
      </c>
      <c r="Q445" s="396"/>
      <c r="R445" s="505">
        <f>SUMIF(O117:O418,"=иные виды работ",R117:R418)</f>
        <v>0</v>
      </c>
      <c r="S445" s="396"/>
      <c r="T445" s="396"/>
      <c r="U445" s="397" t="s">
        <v>471</v>
      </c>
      <c r="V445" s="38">
        <f>SUMIF(U117:U418,"=иные виды работ",V117:V418)</f>
        <v>0</v>
      </c>
      <c r="W445" s="396"/>
      <c r="X445" s="505">
        <f>SUMIF(U117:U418,"=иные виды работ",X117:X418)</f>
        <v>0</v>
      </c>
      <c r="Y445" s="396"/>
      <c r="Z445" s="396"/>
      <c r="AA445" s="397" t="s">
        <v>471</v>
      </c>
      <c r="AB445" s="38">
        <f>SUMIF(AA117:AA418,"=иные виды работ",AB117:AB418)</f>
        <v>0</v>
      </c>
      <c r="AC445" s="396"/>
      <c r="AD445" s="505">
        <f>SUMIF(AA117:AA418,"=иные виды работ",AD117:AD418)</f>
        <v>0</v>
      </c>
      <c r="AE445" s="396"/>
      <c r="AF445" s="396"/>
      <c r="AG445" s="397" t="s">
        <v>471</v>
      </c>
      <c r="AH445" s="38">
        <f>SUMIF(AG117:AG418,"=иные виды работ",AH117:AH418)</f>
        <v>0</v>
      </c>
      <c r="AI445" s="396"/>
      <c r="AJ445" s="505">
        <f>SUMIF(AG117:AG418,"=иные виды работ",AJ117:AJ418)</f>
        <v>0</v>
      </c>
      <c r="AK445" s="396"/>
      <c r="AL445" s="396"/>
      <c r="AM445" s="397" t="s">
        <v>471</v>
      </c>
      <c r="AN445" s="38">
        <f>SUMIF(AM117:AM418,"=иные виды работ",AN117:AN418)</f>
        <v>0</v>
      </c>
      <c r="AO445" s="396"/>
      <c r="AP445" s="505">
        <f>SUMIF(AM117:AM418,"=иные виды работ",AP117:AP418)</f>
        <v>0</v>
      </c>
      <c r="AQ445" s="634"/>
      <c r="AR445" s="606"/>
      <c r="AS445" s="394"/>
      <c r="AT445" s="393"/>
      <c r="AU445" s="395"/>
      <c r="AV445" s="278"/>
      <c r="AW445" s="278"/>
      <c r="AX445" s="278"/>
      <c r="AY445" s="278"/>
      <c r="AZ445" s="278"/>
      <c r="BA445" s="278"/>
      <c r="BB445" s="278"/>
      <c r="BC445" s="278"/>
      <c r="BD445" s="278"/>
    </row>
    <row r="446" spans="1:56" ht="72.75" customHeight="1">
      <c r="A446" s="994" t="s">
        <v>3248</v>
      </c>
      <c r="B446" s="995"/>
      <c r="C446" s="995"/>
      <c r="D446" s="995"/>
      <c r="E446" s="506">
        <f>E92+E422</f>
        <v>3120.0370000000003</v>
      </c>
      <c r="F446" s="421">
        <f>F92+F422</f>
        <v>21491535.199999999</v>
      </c>
      <c r="G446" s="506"/>
      <c r="H446" s="506"/>
      <c r="I446" s="506" t="s">
        <v>1312</v>
      </c>
      <c r="J446" s="416"/>
      <c r="K446" s="506"/>
      <c r="L446" s="416">
        <f>L92+L422</f>
        <v>4441833.6640290022</v>
      </c>
      <c r="M446" s="417"/>
      <c r="N446" s="418"/>
      <c r="O446" s="506"/>
      <c r="P446" s="416"/>
      <c r="Q446" s="506"/>
      <c r="R446" s="416">
        <f>R92+R422</f>
        <v>4302911</v>
      </c>
      <c r="S446" s="506"/>
      <c r="T446" s="506"/>
      <c r="U446" s="506"/>
      <c r="V446" s="416"/>
      <c r="W446" s="506"/>
      <c r="X446" s="416">
        <f>X92+X422</f>
        <v>6686996.1803306378</v>
      </c>
      <c r="Y446" s="506"/>
      <c r="Z446" s="506"/>
      <c r="AA446" s="506"/>
      <c r="AB446" s="416"/>
      <c r="AC446" s="506"/>
      <c r="AD446" s="416">
        <f>AD92+AD422</f>
        <v>5274039.9999999991</v>
      </c>
      <c r="AE446" s="506"/>
      <c r="AF446" s="506"/>
      <c r="AG446" s="506"/>
      <c r="AH446" s="416"/>
      <c r="AI446" s="506"/>
      <c r="AJ446" s="416">
        <f>AJ92+AJ422</f>
        <v>4756365.99</v>
      </c>
      <c r="AK446" s="506"/>
      <c r="AL446" s="506"/>
      <c r="AM446" s="506"/>
      <c r="AN446" s="416"/>
      <c r="AO446" s="506"/>
      <c r="AP446" s="416">
        <f>AP92+AP422</f>
        <v>7271761.6938509997</v>
      </c>
      <c r="AQ446" s="634"/>
      <c r="AR446" s="606"/>
      <c r="AS446" s="394"/>
      <c r="AT446" s="393"/>
      <c r="AU446" s="395"/>
      <c r="AV446" s="278"/>
      <c r="AW446" s="278"/>
      <c r="AX446" s="278"/>
      <c r="AY446" s="278"/>
      <c r="AZ446" s="278"/>
      <c r="BA446" s="278"/>
      <c r="BB446" s="278"/>
      <c r="BC446" s="278"/>
      <c r="BD446" s="278"/>
    </row>
    <row r="447" spans="1:56" ht="21" customHeight="1">
      <c r="A447" s="996" t="s">
        <v>3248</v>
      </c>
      <c r="B447" s="997"/>
      <c r="C447" s="997"/>
      <c r="D447" s="997"/>
      <c r="E447" s="997"/>
      <c r="F447" s="997"/>
      <c r="G447" s="997"/>
      <c r="H447" s="997"/>
      <c r="I447" s="906" t="s">
        <v>114</v>
      </c>
      <c r="J447" s="38">
        <f t="shared" ref="J447:J469" si="0">J93+J423</f>
        <v>194.65740000000005</v>
      </c>
      <c r="K447" s="396" t="s">
        <v>17</v>
      </c>
      <c r="L447" s="896">
        <f>L93+L423</f>
        <v>2375481.8590289997</v>
      </c>
      <c r="M447" s="419"/>
      <c r="N447" s="396"/>
      <c r="O447" s="906" t="s">
        <v>114</v>
      </c>
      <c r="P447" s="38">
        <f t="shared" ref="P447:P469" si="1">P93+P423</f>
        <v>224.12200000000001</v>
      </c>
      <c r="Q447" s="396" t="s">
        <v>17</v>
      </c>
      <c r="R447" s="896">
        <f>R93+R423</f>
        <v>3530247</v>
      </c>
      <c r="S447" s="396"/>
      <c r="T447" s="396"/>
      <c r="U447" s="906" t="s">
        <v>114</v>
      </c>
      <c r="V447" s="38">
        <f t="shared" ref="V447:V469" si="2">V93+V423</f>
        <v>160.67000000000002</v>
      </c>
      <c r="W447" s="396" t="s">
        <v>17</v>
      </c>
      <c r="X447" s="896">
        <f>X93+X423</f>
        <v>2118526.1185106384</v>
      </c>
      <c r="Y447" s="396"/>
      <c r="Z447" s="396"/>
      <c r="AA447" s="906" t="s">
        <v>114</v>
      </c>
      <c r="AB447" s="38">
        <f t="shared" ref="AB447:AB469" si="3">AB93+AB423</f>
        <v>0</v>
      </c>
      <c r="AC447" s="396" t="s">
        <v>17</v>
      </c>
      <c r="AD447" s="896">
        <f>AD93+AD423</f>
        <v>0</v>
      </c>
      <c r="AE447" s="396"/>
      <c r="AF447" s="396"/>
      <c r="AG447" s="906" t="s">
        <v>114</v>
      </c>
      <c r="AH447" s="38">
        <f t="shared" ref="AH447:AH469" si="4">AH93+AH423</f>
        <v>0</v>
      </c>
      <c r="AI447" s="396" t="s">
        <v>17</v>
      </c>
      <c r="AJ447" s="896">
        <f>AJ93+AJ423</f>
        <v>0</v>
      </c>
      <c r="AK447" s="396"/>
      <c r="AL447" s="396"/>
      <c r="AM447" s="906" t="s">
        <v>114</v>
      </c>
      <c r="AN447" s="38">
        <f t="shared" ref="AN447:AN469" si="5">AN93+AN423</f>
        <v>0</v>
      </c>
      <c r="AO447" s="396" t="s">
        <v>17</v>
      </c>
      <c r="AP447" s="896">
        <f>AP93+AP423</f>
        <v>0</v>
      </c>
      <c r="AQ447" s="634"/>
      <c r="AR447" s="606"/>
      <c r="AS447" s="394"/>
      <c r="AT447" s="393"/>
      <c r="AU447" s="395"/>
      <c r="AV447" s="278"/>
      <c r="AW447" s="278"/>
      <c r="AX447" s="278"/>
      <c r="AY447" s="278"/>
      <c r="AZ447" s="278"/>
      <c r="BA447" s="278"/>
      <c r="BB447" s="278"/>
      <c r="BC447" s="278"/>
      <c r="BD447" s="278"/>
    </row>
    <row r="448" spans="1:56">
      <c r="A448" s="996"/>
      <c r="B448" s="997"/>
      <c r="C448" s="997"/>
      <c r="D448" s="997"/>
      <c r="E448" s="997"/>
      <c r="F448" s="997"/>
      <c r="G448" s="997"/>
      <c r="H448" s="997"/>
      <c r="I448" s="906"/>
      <c r="J448" s="38">
        <f t="shared" si="0"/>
        <v>1347483.6963637965</v>
      </c>
      <c r="K448" s="396" t="s">
        <v>32</v>
      </c>
      <c r="L448" s="896"/>
      <c r="M448" s="419"/>
      <c r="N448" s="396"/>
      <c r="O448" s="906"/>
      <c r="P448" s="38">
        <f t="shared" si="1"/>
        <v>1518364.5037746166</v>
      </c>
      <c r="Q448" s="396" t="s">
        <v>32</v>
      </c>
      <c r="R448" s="896"/>
      <c r="S448" s="396"/>
      <c r="T448" s="396"/>
      <c r="U448" s="906"/>
      <c r="V448" s="38">
        <f t="shared" si="2"/>
        <v>1025389.6770286709</v>
      </c>
      <c r="W448" s="396" t="s">
        <v>32</v>
      </c>
      <c r="X448" s="896"/>
      <c r="Y448" s="396"/>
      <c r="Z448" s="396"/>
      <c r="AA448" s="906"/>
      <c r="AB448" s="38">
        <f t="shared" si="3"/>
        <v>0</v>
      </c>
      <c r="AC448" s="396" t="s">
        <v>32</v>
      </c>
      <c r="AD448" s="896"/>
      <c r="AE448" s="396"/>
      <c r="AF448" s="396"/>
      <c r="AG448" s="906"/>
      <c r="AH448" s="38">
        <f t="shared" si="4"/>
        <v>0</v>
      </c>
      <c r="AI448" s="396" t="s">
        <v>32</v>
      </c>
      <c r="AJ448" s="896"/>
      <c r="AK448" s="396"/>
      <c r="AL448" s="396"/>
      <c r="AM448" s="906"/>
      <c r="AN448" s="38">
        <f t="shared" si="5"/>
        <v>0</v>
      </c>
      <c r="AO448" s="396" t="s">
        <v>32</v>
      </c>
      <c r="AP448" s="896"/>
      <c r="AQ448" s="634"/>
      <c r="AR448" s="606"/>
      <c r="AS448" s="394"/>
      <c r="AT448" s="393"/>
      <c r="AU448" s="395"/>
      <c r="AV448" s="278"/>
      <c r="AW448" s="278"/>
      <c r="AX448" s="278"/>
      <c r="AY448" s="278"/>
      <c r="AZ448" s="278"/>
      <c r="BA448" s="278"/>
      <c r="BB448" s="278"/>
      <c r="BC448" s="278"/>
      <c r="BD448" s="278"/>
    </row>
    <row r="449" spans="1:56" ht="20.25" customHeight="1">
      <c r="A449" s="996"/>
      <c r="B449" s="997"/>
      <c r="C449" s="997"/>
      <c r="D449" s="997"/>
      <c r="E449" s="997"/>
      <c r="F449" s="997"/>
      <c r="G449" s="997"/>
      <c r="H449" s="997"/>
      <c r="I449" s="906" t="s">
        <v>115</v>
      </c>
      <c r="J449" s="38">
        <f t="shared" si="0"/>
        <v>92.225380000000001</v>
      </c>
      <c r="K449" s="396" t="s">
        <v>17</v>
      </c>
      <c r="L449" s="896">
        <f>L95+L425</f>
        <v>1929337.10827</v>
      </c>
      <c r="M449" s="419"/>
      <c r="N449" s="396"/>
      <c r="O449" s="906" t="s">
        <v>115</v>
      </c>
      <c r="P449" s="38">
        <f t="shared" si="1"/>
        <v>29</v>
      </c>
      <c r="Q449" s="396" t="s">
        <v>17</v>
      </c>
      <c r="R449" s="896">
        <f>R95+R425</f>
        <v>571994</v>
      </c>
      <c r="S449" s="396"/>
      <c r="T449" s="396"/>
      <c r="U449" s="906" t="s">
        <v>115</v>
      </c>
      <c r="V449" s="38">
        <f t="shared" si="2"/>
        <v>148.25</v>
      </c>
      <c r="W449" s="396" t="s">
        <v>17</v>
      </c>
      <c r="X449" s="896">
        <f>X95+X425</f>
        <v>4488470.0618199995</v>
      </c>
      <c r="Y449" s="396"/>
      <c r="Z449" s="396"/>
      <c r="AA449" s="906" t="s">
        <v>115</v>
      </c>
      <c r="AB449" s="38">
        <f t="shared" si="3"/>
        <v>128.51499999999999</v>
      </c>
      <c r="AC449" s="396" t="s">
        <v>17</v>
      </c>
      <c r="AD449" s="896">
        <f>AD95+AD425</f>
        <v>5274039.9999999991</v>
      </c>
      <c r="AE449" s="396"/>
      <c r="AF449" s="396"/>
      <c r="AG449" s="906" t="s">
        <v>115</v>
      </c>
      <c r="AH449" s="38">
        <f t="shared" si="4"/>
        <v>58.31</v>
      </c>
      <c r="AI449" s="396" t="s">
        <v>17</v>
      </c>
      <c r="AJ449" s="896">
        <f>AJ95+AJ425</f>
        <v>3444800</v>
      </c>
      <c r="AK449" s="396"/>
      <c r="AL449" s="396"/>
      <c r="AM449" s="906" t="s">
        <v>115</v>
      </c>
      <c r="AN449" s="38">
        <f t="shared" si="5"/>
        <v>50.11</v>
      </c>
      <c r="AO449" s="396" t="s">
        <v>17</v>
      </c>
      <c r="AP449" s="896">
        <f>AP95+AP425</f>
        <v>3012000</v>
      </c>
      <c r="AQ449" s="634"/>
      <c r="AR449" s="606"/>
      <c r="AS449" s="394"/>
      <c r="AT449" s="393"/>
      <c r="AU449" s="395"/>
      <c r="AV449" s="278"/>
      <c r="AW449" s="278"/>
      <c r="AX449" s="278"/>
      <c r="AY449" s="278"/>
      <c r="AZ449" s="278"/>
      <c r="BA449" s="278"/>
      <c r="BB449" s="278"/>
      <c r="BC449" s="278"/>
      <c r="BD449" s="278"/>
    </row>
    <row r="450" spans="1:56">
      <c r="A450" s="996"/>
      <c r="B450" s="997"/>
      <c r="C450" s="997"/>
      <c r="D450" s="997"/>
      <c r="E450" s="997"/>
      <c r="F450" s="997"/>
      <c r="G450" s="997"/>
      <c r="H450" s="997"/>
      <c r="I450" s="906"/>
      <c r="J450" s="38">
        <f t="shared" si="0"/>
        <v>751712.04591741867</v>
      </c>
      <c r="K450" s="396" t="s">
        <v>32</v>
      </c>
      <c r="L450" s="896"/>
      <c r="M450" s="419"/>
      <c r="N450" s="396"/>
      <c r="O450" s="906"/>
      <c r="P450" s="38">
        <f t="shared" si="1"/>
        <v>184638.39285714284</v>
      </c>
      <c r="Q450" s="396" t="s">
        <v>32</v>
      </c>
      <c r="R450" s="896"/>
      <c r="S450" s="396"/>
      <c r="T450" s="396"/>
      <c r="U450" s="906"/>
      <c r="V450" s="38">
        <f t="shared" si="2"/>
        <v>1019867.6391493205</v>
      </c>
      <c r="W450" s="396" t="s">
        <v>32</v>
      </c>
      <c r="X450" s="896"/>
      <c r="Y450" s="396"/>
      <c r="Z450" s="396"/>
      <c r="AA450" s="906"/>
      <c r="AB450" s="38">
        <f t="shared" si="3"/>
        <v>953030.83762870484</v>
      </c>
      <c r="AC450" s="396" t="s">
        <v>32</v>
      </c>
      <c r="AD450" s="896"/>
      <c r="AE450" s="396"/>
      <c r="AF450" s="396"/>
      <c r="AG450" s="906"/>
      <c r="AH450" s="38">
        <f t="shared" si="4"/>
        <v>392737.25975875411</v>
      </c>
      <c r="AI450" s="396" t="s">
        <v>32</v>
      </c>
      <c r="AJ450" s="896"/>
      <c r="AK450" s="396"/>
      <c r="AL450" s="396"/>
      <c r="AM450" s="906"/>
      <c r="AN450" s="38">
        <f t="shared" si="5"/>
        <v>350109.78282103082</v>
      </c>
      <c r="AO450" s="396" t="s">
        <v>32</v>
      </c>
      <c r="AP450" s="896"/>
      <c r="AQ450" s="634"/>
      <c r="AR450" s="606"/>
      <c r="AS450" s="394"/>
      <c r="AT450" s="393"/>
      <c r="AU450" s="395"/>
      <c r="AV450" s="278"/>
      <c r="AW450" s="278"/>
      <c r="AX450" s="278"/>
      <c r="AY450" s="278"/>
      <c r="AZ450" s="278"/>
      <c r="BA450" s="278"/>
      <c r="BB450" s="278"/>
      <c r="BC450" s="278"/>
      <c r="BD450" s="278"/>
    </row>
    <row r="451" spans="1:56">
      <c r="A451" s="996"/>
      <c r="B451" s="997"/>
      <c r="C451" s="997"/>
      <c r="D451" s="997"/>
      <c r="E451" s="997"/>
      <c r="F451" s="997"/>
      <c r="G451" s="997"/>
      <c r="H451" s="997"/>
      <c r="I451" s="906" t="s">
        <v>116</v>
      </c>
      <c r="J451" s="38">
        <f t="shared" si="0"/>
        <v>0</v>
      </c>
      <c r="K451" s="396" t="s">
        <v>17</v>
      </c>
      <c r="L451" s="896">
        <f>L97+L427</f>
        <v>0</v>
      </c>
      <c r="M451" s="419"/>
      <c r="N451" s="396"/>
      <c r="O451" s="906" t="s">
        <v>116</v>
      </c>
      <c r="P451" s="38">
        <f t="shared" si="1"/>
        <v>0</v>
      </c>
      <c r="Q451" s="396" t="s">
        <v>17</v>
      </c>
      <c r="R451" s="896">
        <f>R97+R427</f>
        <v>0</v>
      </c>
      <c r="S451" s="396"/>
      <c r="T451" s="396"/>
      <c r="U451" s="906" t="s">
        <v>116</v>
      </c>
      <c r="V451" s="38">
        <f t="shared" si="2"/>
        <v>1.2</v>
      </c>
      <c r="W451" s="396" t="s">
        <v>17</v>
      </c>
      <c r="X451" s="896">
        <f>X97+X427</f>
        <v>80000</v>
      </c>
      <c r="Y451" s="396"/>
      <c r="Z451" s="396"/>
      <c r="AA451" s="906" t="s">
        <v>116</v>
      </c>
      <c r="AB451" s="38">
        <f t="shared" si="3"/>
        <v>0</v>
      </c>
      <c r="AC451" s="396" t="s">
        <v>17</v>
      </c>
      <c r="AD451" s="896">
        <f>AD97+AD427</f>
        <v>0</v>
      </c>
      <c r="AE451" s="396"/>
      <c r="AF451" s="396"/>
      <c r="AG451" s="906" t="s">
        <v>116</v>
      </c>
      <c r="AH451" s="38">
        <f t="shared" si="4"/>
        <v>0</v>
      </c>
      <c r="AI451" s="396" t="s">
        <v>17</v>
      </c>
      <c r="AJ451" s="896">
        <f>AJ97+AJ427</f>
        <v>0</v>
      </c>
      <c r="AK451" s="396"/>
      <c r="AL451" s="396"/>
      <c r="AM451" s="906" t="s">
        <v>116</v>
      </c>
      <c r="AN451" s="38">
        <f t="shared" si="5"/>
        <v>0</v>
      </c>
      <c r="AO451" s="396" t="s">
        <v>17</v>
      </c>
      <c r="AP451" s="896">
        <f>AP97+AP427</f>
        <v>0</v>
      </c>
      <c r="AQ451" s="634"/>
      <c r="AR451" s="606"/>
      <c r="AS451" s="394"/>
      <c r="AT451" s="393"/>
      <c r="AU451" s="395"/>
      <c r="AV451" s="278"/>
      <c r="AW451" s="278"/>
      <c r="AX451" s="278"/>
      <c r="AY451" s="278"/>
      <c r="AZ451" s="278"/>
      <c r="BA451" s="278"/>
      <c r="BB451" s="278"/>
      <c r="BC451" s="278"/>
      <c r="BD451" s="278"/>
    </row>
    <row r="452" spans="1:56">
      <c r="A452" s="996"/>
      <c r="B452" s="997"/>
      <c r="C452" s="997"/>
      <c r="D452" s="997"/>
      <c r="E452" s="997"/>
      <c r="F452" s="997"/>
      <c r="G452" s="997"/>
      <c r="H452" s="997"/>
      <c r="I452" s="906"/>
      <c r="J452" s="38">
        <f t="shared" si="0"/>
        <v>0</v>
      </c>
      <c r="K452" s="396" t="s">
        <v>32</v>
      </c>
      <c r="L452" s="896"/>
      <c r="M452" s="419"/>
      <c r="N452" s="396"/>
      <c r="O452" s="906"/>
      <c r="P452" s="38">
        <f t="shared" si="1"/>
        <v>0</v>
      </c>
      <c r="Q452" s="396" t="s">
        <v>32</v>
      </c>
      <c r="R452" s="896"/>
      <c r="S452" s="396"/>
      <c r="T452" s="396"/>
      <c r="U452" s="906"/>
      <c r="V452" s="38">
        <f t="shared" si="2"/>
        <v>8640</v>
      </c>
      <c r="W452" s="396" t="s">
        <v>32</v>
      </c>
      <c r="X452" s="896"/>
      <c r="Y452" s="396"/>
      <c r="Z452" s="396"/>
      <c r="AA452" s="906"/>
      <c r="AB452" s="38">
        <f t="shared" si="3"/>
        <v>0</v>
      </c>
      <c r="AC452" s="396" t="s">
        <v>32</v>
      </c>
      <c r="AD452" s="896"/>
      <c r="AE452" s="396"/>
      <c r="AF452" s="396"/>
      <c r="AG452" s="906"/>
      <c r="AH452" s="38">
        <f t="shared" si="4"/>
        <v>0</v>
      </c>
      <c r="AI452" s="396" t="s">
        <v>32</v>
      </c>
      <c r="AJ452" s="896"/>
      <c r="AK452" s="396"/>
      <c r="AL452" s="396"/>
      <c r="AM452" s="906"/>
      <c r="AN452" s="38">
        <f t="shared" si="5"/>
        <v>0</v>
      </c>
      <c r="AO452" s="396" t="s">
        <v>32</v>
      </c>
      <c r="AP452" s="896"/>
      <c r="AQ452" s="634"/>
      <c r="AR452" s="606"/>
      <c r="AS452" s="394"/>
      <c r="AT452" s="393"/>
      <c r="AU452" s="395"/>
      <c r="AV452" s="278"/>
      <c r="AW452" s="278"/>
      <c r="AX452" s="278"/>
      <c r="AY452" s="278"/>
      <c r="AZ452" s="278"/>
      <c r="BA452" s="278"/>
      <c r="BB452" s="278"/>
      <c r="BC452" s="278"/>
      <c r="BD452" s="278"/>
    </row>
    <row r="453" spans="1:56">
      <c r="A453" s="996"/>
      <c r="B453" s="997"/>
      <c r="C453" s="997"/>
      <c r="D453" s="997"/>
      <c r="E453" s="997"/>
      <c r="F453" s="997"/>
      <c r="G453" s="997"/>
      <c r="H453" s="997"/>
      <c r="I453" s="906" t="s">
        <v>117</v>
      </c>
      <c r="J453" s="38">
        <f t="shared" si="0"/>
        <v>0</v>
      </c>
      <c r="K453" s="396" t="s">
        <v>17</v>
      </c>
      <c r="L453" s="896">
        <f>L99+L429</f>
        <v>104782.45600000001</v>
      </c>
      <c r="M453" s="419"/>
      <c r="N453" s="396"/>
      <c r="O453" s="906" t="s">
        <v>117</v>
      </c>
      <c r="P453" s="38">
        <f t="shared" si="1"/>
        <v>13.8</v>
      </c>
      <c r="Q453" s="396" t="s">
        <v>17</v>
      </c>
      <c r="R453" s="896">
        <f>R99+R429</f>
        <v>200670</v>
      </c>
      <c r="S453" s="396"/>
      <c r="T453" s="396"/>
      <c r="U453" s="906" t="s">
        <v>117</v>
      </c>
      <c r="V453" s="38">
        <f t="shared" si="2"/>
        <v>0</v>
      </c>
      <c r="W453" s="396" t="s">
        <v>17</v>
      </c>
      <c r="X453" s="896">
        <f>X99+X429</f>
        <v>0</v>
      </c>
      <c r="Y453" s="396"/>
      <c r="Z453" s="396"/>
      <c r="AA453" s="906" t="s">
        <v>117</v>
      </c>
      <c r="AB453" s="38">
        <f t="shared" si="3"/>
        <v>0</v>
      </c>
      <c r="AC453" s="396" t="s">
        <v>17</v>
      </c>
      <c r="AD453" s="896">
        <f>AD99+AD429</f>
        <v>0</v>
      </c>
      <c r="AE453" s="396"/>
      <c r="AF453" s="396"/>
      <c r="AG453" s="906" t="s">
        <v>117</v>
      </c>
      <c r="AH453" s="38">
        <f t="shared" si="4"/>
        <v>4.5549999999999997</v>
      </c>
      <c r="AI453" s="396" t="s">
        <v>17</v>
      </c>
      <c r="AJ453" s="896">
        <f>AJ99+AJ429</f>
        <v>311565.99</v>
      </c>
      <c r="AK453" s="396"/>
      <c r="AL453" s="396"/>
      <c r="AM453" s="906" t="s">
        <v>117</v>
      </c>
      <c r="AN453" s="38">
        <f t="shared" si="5"/>
        <v>6.7450000000000001</v>
      </c>
      <c r="AO453" s="396" t="s">
        <v>17</v>
      </c>
      <c r="AP453" s="896">
        <f>AP99+AP429</f>
        <v>460000</v>
      </c>
      <c r="AQ453" s="634"/>
      <c r="AR453" s="606"/>
      <c r="AS453" s="394"/>
      <c r="AT453" s="393"/>
      <c r="AU453" s="395"/>
      <c r="AV453" s="278"/>
      <c r="AW453" s="278"/>
      <c r="AX453" s="278"/>
      <c r="AY453" s="278"/>
      <c r="AZ453" s="278"/>
      <c r="BA453" s="278"/>
      <c r="BB453" s="278"/>
      <c r="BC453" s="278"/>
      <c r="BD453" s="278"/>
    </row>
    <row r="454" spans="1:56">
      <c r="A454" s="996"/>
      <c r="B454" s="997"/>
      <c r="C454" s="997"/>
      <c r="D454" s="997"/>
      <c r="E454" s="997"/>
      <c r="F454" s="997"/>
      <c r="G454" s="997"/>
      <c r="H454" s="997"/>
      <c r="I454" s="906"/>
      <c r="J454" s="38">
        <f t="shared" si="0"/>
        <v>0</v>
      </c>
      <c r="K454" s="396" t="s">
        <v>32</v>
      </c>
      <c r="L454" s="896"/>
      <c r="M454" s="419"/>
      <c r="N454" s="396"/>
      <c r="O454" s="906"/>
      <c r="P454" s="38">
        <f t="shared" si="1"/>
        <v>96600</v>
      </c>
      <c r="Q454" s="396" t="s">
        <v>32</v>
      </c>
      <c r="R454" s="896"/>
      <c r="S454" s="396"/>
      <c r="T454" s="396"/>
      <c r="U454" s="906"/>
      <c r="V454" s="38">
        <f t="shared" si="2"/>
        <v>0</v>
      </c>
      <c r="W454" s="396" t="s">
        <v>32</v>
      </c>
      <c r="X454" s="896"/>
      <c r="Y454" s="396"/>
      <c r="Z454" s="396"/>
      <c r="AA454" s="906"/>
      <c r="AB454" s="38">
        <f t="shared" si="3"/>
        <v>0</v>
      </c>
      <c r="AC454" s="396" t="s">
        <v>32</v>
      </c>
      <c r="AD454" s="896"/>
      <c r="AE454" s="396"/>
      <c r="AF454" s="396"/>
      <c r="AG454" s="906"/>
      <c r="AH454" s="38">
        <f t="shared" si="4"/>
        <v>31884.999999999996</v>
      </c>
      <c r="AI454" s="396" t="s">
        <v>32</v>
      </c>
      <c r="AJ454" s="896"/>
      <c r="AK454" s="396"/>
      <c r="AL454" s="396"/>
      <c r="AM454" s="906"/>
      <c r="AN454" s="38">
        <f t="shared" si="5"/>
        <v>47215</v>
      </c>
      <c r="AO454" s="396" t="s">
        <v>32</v>
      </c>
      <c r="AP454" s="896"/>
      <c r="AQ454" s="634"/>
      <c r="AR454" s="606"/>
      <c r="AS454" s="394"/>
      <c r="AT454" s="393"/>
      <c r="AU454" s="395"/>
      <c r="AV454" s="278"/>
      <c r="AW454" s="278"/>
      <c r="AX454" s="278"/>
      <c r="AY454" s="278"/>
      <c r="AZ454" s="278"/>
      <c r="BA454" s="278"/>
      <c r="BB454" s="278"/>
      <c r="BC454" s="278"/>
      <c r="BD454" s="278"/>
    </row>
    <row r="455" spans="1:56" ht="20.25" customHeight="1">
      <c r="A455" s="996"/>
      <c r="B455" s="997"/>
      <c r="C455" s="997"/>
      <c r="D455" s="997"/>
      <c r="E455" s="997"/>
      <c r="F455" s="997"/>
      <c r="G455" s="997"/>
      <c r="H455" s="997"/>
      <c r="I455" s="906" t="s">
        <v>462</v>
      </c>
      <c r="J455" s="38">
        <f t="shared" si="0"/>
        <v>0</v>
      </c>
      <c r="K455" s="396" t="s">
        <v>32</v>
      </c>
      <c r="L455" s="896">
        <f>L101+L431</f>
        <v>0</v>
      </c>
      <c r="M455" s="419"/>
      <c r="N455" s="396"/>
      <c r="O455" s="906" t="s">
        <v>462</v>
      </c>
      <c r="P455" s="38">
        <f t="shared" si="1"/>
        <v>0</v>
      </c>
      <c r="Q455" s="396" t="s">
        <v>32</v>
      </c>
      <c r="R455" s="896">
        <f>R101+R431</f>
        <v>0</v>
      </c>
      <c r="S455" s="396"/>
      <c r="T455" s="396"/>
      <c r="U455" s="906" t="s">
        <v>462</v>
      </c>
      <c r="V455" s="38">
        <f t="shared" si="2"/>
        <v>0</v>
      </c>
      <c r="W455" s="396" t="s">
        <v>32</v>
      </c>
      <c r="X455" s="896">
        <f>X101+X431</f>
        <v>0</v>
      </c>
      <c r="Y455" s="396"/>
      <c r="Z455" s="396"/>
      <c r="AA455" s="906" t="s">
        <v>462</v>
      </c>
      <c r="AB455" s="38">
        <f t="shared" si="3"/>
        <v>0</v>
      </c>
      <c r="AC455" s="396" t="s">
        <v>32</v>
      </c>
      <c r="AD455" s="896">
        <f>AD101+AD431</f>
        <v>0</v>
      </c>
      <c r="AE455" s="396"/>
      <c r="AF455" s="396"/>
      <c r="AG455" s="906" t="s">
        <v>462</v>
      </c>
      <c r="AH455" s="38">
        <f t="shared" si="4"/>
        <v>0</v>
      </c>
      <c r="AI455" s="396" t="s">
        <v>32</v>
      </c>
      <c r="AJ455" s="896">
        <f>AJ101+AJ431</f>
        <v>0</v>
      </c>
      <c r="AK455" s="396"/>
      <c r="AL455" s="396"/>
      <c r="AM455" s="906" t="s">
        <v>462</v>
      </c>
      <c r="AN455" s="38">
        <f t="shared" si="5"/>
        <v>0</v>
      </c>
      <c r="AO455" s="396" t="s">
        <v>32</v>
      </c>
      <c r="AP455" s="896">
        <f>AP101+AP431</f>
        <v>0</v>
      </c>
      <c r="AQ455" s="634"/>
      <c r="AR455" s="606"/>
      <c r="AS455" s="394"/>
      <c r="AT455" s="393"/>
      <c r="AU455" s="395"/>
      <c r="AV455" s="278"/>
      <c r="AW455" s="278"/>
      <c r="AX455" s="278"/>
      <c r="AY455" s="278"/>
      <c r="AZ455" s="278"/>
      <c r="BA455" s="278"/>
      <c r="BB455" s="278"/>
      <c r="BC455" s="278"/>
      <c r="BD455" s="278"/>
    </row>
    <row r="456" spans="1:56">
      <c r="A456" s="996"/>
      <c r="B456" s="997"/>
      <c r="C456" s="997"/>
      <c r="D456" s="997"/>
      <c r="E456" s="997"/>
      <c r="F456" s="997"/>
      <c r="G456" s="997"/>
      <c r="H456" s="997"/>
      <c r="I456" s="906"/>
      <c r="J456" s="38">
        <f t="shared" si="0"/>
        <v>0</v>
      </c>
      <c r="K456" s="396" t="s">
        <v>17</v>
      </c>
      <c r="L456" s="896"/>
      <c r="M456" s="419"/>
      <c r="N456" s="396"/>
      <c r="O456" s="906"/>
      <c r="P456" s="38">
        <f t="shared" si="1"/>
        <v>0</v>
      </c>
      <c r="Q456" s="396" t="s">
        <v>17</v>
      </c>
      <c r="R456" s="896"/>
      <c r="S456" s="396"/>
      <c r="T456" s="396"/>
      <c r="U456" s="906"/>
      <c r="V456" s="38">
        <f t="shared" si="2"/>
        <v>0</v>
      </c>
      <c r="W456" s="396" t="s">
        <v>17</v>
      </c>
      <c r="X456" s="896"/>
      <c r="Y456" s="396"/>
      <c r="Z456" s="396"/>
      <c r="AA456" s="906"/>
      <c r="AB456" s="38">
        <f t="shared" si="3"/>
        <v>0</v>
      </c>
      <c r="AC456" s="396" t="s">
        <v>17</v>
      </c>
      <c r="AD456" s="896"/>
      <c r="AE456" s="396"/>
      <c r="AF456" s="396"/>
      <c r="AG456" s="906"/>
      <c r="AH456" s="38">
        <f t="shared" si="4"/>
        <v>0</v>
      </c>
      <c r="AI456" s="396" t="s">
        <v>17</v>
      </c>
      <c r="AJ456" s="896"/>
      <c r="AK456" s="396"/>
      <c r="AL456" s="396"/>
      <c r="AM456" s="906"/>
      <c r="AN456" s="38">
        <f t="shared" si="5"/>
        <v>0</v>
      </c>
      <c r="AO456" s="396" t="s">
        <v>17</v>
      </c>
      <c r="AP456" s="896"/>
      <c r="AQ456" s="634"/>
      <c r="AR456" s="606"/>
      <c r="AS456" s="394"/>
      <c r="AT456" s="393"/>
      <c r="AU456" s="395"/>
      <c r="AV456" s="278"/>
      <c r="AW456" s="278"/>
      <c r="AX456" s="278"/>
      <c r="AY456" s="278"/>
      <c r="AZ456" s="278"/>
      <c r="BA456" s="278"/>
      <c r="BB456" s="278"/>
      <c r="BC456" s="278"/>
      <c r="BD456" s="278"/>
    </row>
    <row r="457" spans="1:56" ht="42.75">
      <c r="A457" s="996"/>
      <c r="B457" s="997"/>
      <c r="C457" s="997"/>
      <c r="D457" s="997"/>
      <c r="E457" s="997"/>
      <c r="F457" s="997"/>
      <c r="G457" s="997"/>
      <c r="H457" s="997"/>
      <c r="I457" s="397" t="s">
        <v>120</v>
      </c>
      <c r="J457" s="38">
        <f t="shared" si="0"/>
        <v>0</v>
      </c>
      <c r="K457" s="396" t="s">
        <v>118</v>
      </c>
      <c r="L457" s="420">
        <f t="shared" ref="L457:L469" si="6">L103+L433</f>
        <v>0</v>
      </c>
      <c r="M457" s="419"/>
      <c r="N457" s="396"/>
      <c r="O457" s="397" t="s">
        <v>120</v>
      </c>
      <c r="P457" s="38">
        <f t="shared" si="1"/>
        <v>0</v>
      </c>
      <c r="Q457" s="396" t="s">
        <v>118</v>
      </c>
      <c r="R457" s="420">
        <f t="shared" ref="R457:R469" si="7">R103+R433</f>
        <v>0</v>
      </c>
      <c r="S457" s="396"/>
      <c r="T457" s="396"/>
      <c r="U457" s="397" t="s">
        <v>120</v>
      </c>
      <c r="V457" s="38">
        <f t="shared" si="2"/>
        <v>0</v>
      </c>
      <c r="W457" s="396" t="s">
        <v>118</v>
      </c>
      <c r="X457" s="420">
        <f t="shared" ref="X457:X469" si="8">X103+X433</f>
        <v>0</v>
      </c>
      <c r="Y457" s="396"/>
      <c r="Z457" s="396"/>
      <c r="AA457" s="397" t="s">
        <v>120</v>
      </c>
      <c r="AB457" s="38">
        <f t="shared" si="3"/>
        <v>0</v>
      </c>
      <c r="AC457" s="396" t="s">
        <v>118</v>
      </c>
      <c r="AD457" s="420">
        <f t="shared" ref="AD457:AD469" si="9">AD103+AD433</f>
        <v>0</v>
      </c>
      <c r="AE457" s="396"/>
      <c r="AF457" s="396"/>
      <c r="AG457" s="397" t="s">
        <v>120</v>
      </c>
      <c r="AH457" s="38">
        <f t="shared" si="4"/>
        <v>0</v>
      </c>
      <c r="AI457" s="396" t="s">
        <v>118</v>
      </c>
      <c r="AJ457" s="420">
        <f t="shared" ref="AJ457:AJ469" si="10">AJ103+AJ433</f>
        <v>0</v>
      </c>
      <c r="AK457" s="396"/>
      <c r="AL457" s="396"/>
      <c r="AM457" s="397" t="s">
        <v>120</v>
      </c>
      <c r="AN457" s="38">
        <f t="shared" si="5"/>
        <v>0</v>
      </c>
      <c r="AO457" s="396" t="s">
        <v>118</v>
      </c>
      <c r="AP457" s="420">
        <f t="shared" ref="AP457:AP469" si="11">AP103+AP433</f>
        <v>0</v>
      </c>
      <c r="AQ457" s="634"/>
      <c r="AR457" s="606"/>
      <c r="AS457" s="394"/>
      <c r="AT457" s="393"/>
      <c r="AU457" s="395"/>
      <c r="AV457" s="278"/>
      <c r="AW457" s="278"/>
      <c r="AX457" s="278"/>
      <c r="AY457" s="278"/>
      <c r="AZ457" s="278"/>
      <c r="BA457" s="278"/>
      <c r="BB457" s="278"/>
      <c r="BC457" s="278"/>
      <c r="BD457" s="278"/>
    </row>
    <row r="458" spans="1:56" ht="28.5">
      <c r="A458" s="996"/>
      <c r="B458" s="997"/>
      <c r="C458" s="997"/>
      <c r="D458" s="997"/>
      <c r="E458" s="997"/>
      <c r="F458" s="997"/>
      <c r="G458" s="997"/>
      <c r="H458" s="997"/>
      <c r="I458" s="397" t="s">
        <v>93</v>
      </c>
      <c r="J458" s="38">
        <f t="shared" si="0"/>
        <v>2</v>
      </c>
      <c r="K458" s="396" t="s">
        <v>118</v>
      </c>
      <c r="L458" s="420">
        <f t="shared" si="6"/>
        <v>157.0198</v>
      </c>
      <c r="M458" s="419"/>
      <c r="N458" s="396"/>
      <c r="O458" s="397" t="s">
        <v>93</v>
      </c>
      <c r="P458" s="38">
        <f t="shared" si="1"/>
        <v>0</v>
      </c>
      <c r="Q458" s="396" t="s">
        <v>118</v>
      </c>
      <c r="R458" s="420">
        <f t="shared" si="7"/>
        <v>0</v>
      </c>
      <c r="S458" s="396"/>
      <c r="T458" s="396"/>
      <c r="U458" s="397" t="s">
        <v>93</v>
      </c>
      <c r="V458" s="38">
        <f t="shared" si="2"/>
        <v>0</v>
      </c>
      <c r="W458" s="396" t="s">
        <v>118</v>
      </c>
      <c r="X458" s="420">
        <f t="shared" si="8"/>
        <v>0</v>
      </c>
      <c r="Y458" s="396"/>
      <c r="Z458" s="396"/>
      <c r="AA458" s="397" t="s">
        <v>93</v>
      </c>
      <c r="AB458" s="38">
        <f t="shared" si="3"/>
        <v>0</v>
      </c>
      <c r="AC458" s="396" t="s">
        <v>118</v>
      </c>
      <c r="AD458" s="420">
        <f t="shared" si="9"/>
        <v>0</v>
      </c>
      <c r="AE458" s="396"/>
      <c r="AF458" s="396"/>
      <c r="AG458" s="397" t="s">
        <v>93</v>
      </c>
      <c r="AH458" s="38">
        <f t="shared" si="4"/>
        <v>0</v>
      </c>
      <c r="AI458" s="396" t="s">
        <v>118</v>
      </c>
      <c r="AJ458" s="420">
        <f t="shared" si="10"/>
        <v>0</v>
      </c>
      <c r="AK458" s="396"/>
      <c r="AL458" s="396"/>
      <c r="AM458" s="397" t="s">
        <v>93</v>
      </c>
      <c r="AN458" s="38">
        <f t="shared" si="5"/>
        <v>0</v>
      </c>
      <c r="AO458" s="396" t="s">
        <v>118</v>
      </c>
      <c r="AP458" s="420">
        <f t="shared" si="11"/>
        <v>0</v>
      </c>
      <c r="AQ458" s="634"/>
      <c r="AR458" s="606"/>
      <c r="AS458" s="394"/>
      <c r="AT458" s="393"/>
      <c r="AU458" s="395"/>
      <c r="AV458" s="278"/>
      <c r="AW458" s="278"/>
      <c r="AX458" s="278"/>
      <c r="AY458" s="278"/>
      <c r="AZ458" s="278"/>
      <c r="BA458" s="278"/>
      <c r="BB458" s="278"/>
      <c r="BC458" s="278"/>
      <c r="BD458" s="278"/>
    </row>
    <row r="459" spans="1:56" ht="42.75">
      <c r="A459" s="996"/>
      <c r="B459" s="997"/>
      <c r="C459" s="997"/>
      <c r="D459" s="997"/>
      <c r="E459" s="997"/>
      <c r="F459" s="997"/>
      <c r="G459" s="997"/>
      <c r="H459" s="997"/>
      <c r="I459" s="397" t="s">
        <v>463</v>
      </c>
      <c r="J459" s="38">
        <f t="shared" si="0"/>
        <v>2738</v>
      </c>
      <c r="K459" s="396" t="s">
        <v>2681</v>
      </c>
      <c r="L459" s="420">
        <f t="shared" si="6"/>
        <v>9334.1256699999994</v>
      </c>
      <c r="M459" s="419"/>
      <c r="N459" s="396"/>
      <c r="O459" s="397" t="s">
        <v>463</v>
      </c>
      <c r="P459" s="38">
        <f t="shared" si="1"/>
        <v>0</v>
      </c>
      <c r="Q459" s="396" t="s">
        <v>2681</v>
      </c>
      <c r="R459" s="420">
        <f t="shared" si="7"/>
        <v>0</v>
      </c>
      <c r="S459" s="396"/>
      <c r="T459" s="396"/>
      <c r="U459" s="397" t="s">
        <v>463</v>
      </c>
      <c r="V459" s="38">
        <f t="shared" si="2"/>
        <v>0</v>
      </c>
      <c r="W459" s="396" t="s">
        <v>2681</v>
      </c>
      <c r="X459" s="420">
        <f t="shared" si="8"/>
        <v>0</v>
      </c>
      <c r="Y459" s="396"/>
      <c r="Z459" s="396"/>
      <c r="AA459" s="397" t="s">
        <v>463</v>
      </c>
      <c r="AB459" s="38">
        <f t="shared" si="3"/>
        <v>0</v>
      </c>
      <c r="AC459" s="396" t="s">
        <v>2681</v>
      </c>
      <c r="AD459" s="420">
        <f t="shared" si="9"/>
        <v>0</v>
      </c>
      <c r="AE459" s="396"/>
      <c r="AF459" s="396"/>
      <c r="AG459" s="397" t="s">
        <v>463</v>
      </c>
      <c r="AH459" s="38">
        <f t="shared" si="4"/>
        <v>0</v>
      </c>
      <c r="AI459" s="396" t="s">
        <v>2681</v>
      </c>
      <c r="AJ459" s="420">
        <f t="shared" si="10"/>
        <v>0</v>
      </c>
      <c r="AK459" s="396"/>
      <c r="AL459" s="396"/>
      <c r="AM459" s="397" t="s">
        <v>463</v>
      </c>
      <c r="AN459" s="38">
        <f t="shared" si="5"/>
        <v>0</v>
      </c>
      <c r="AO459" s="396" t="s">
        <v>2681</v>
      </c>
      <c r="AP459" s="420">
        <f t="shared" si="11"/>
        <v>0</v>
      </c>
      <c r="AQ459" s="634"/>
      <c r="AR459" s="606"/>
      <c r="AS459" s="394"/>
      <c r="AT459" s="393"/>
      <c r="AU459" s="395"/>
      <c r="AV459" s="278"/>
      <c r="AW459" s="278"/>
      <c r="AX459" s="278"/>
      <c r="AY459" s="278"/>
      <c r="AZ459" s="278"/>
      <c r="BA459" s="278"/>
      <c r="BB459" s="278"/>
      <c r="BC459" s="278"/>
      <c r="BD459" s="278"/>
    </row>
    <row r="460" spans="1:56">
      <c r="A460" s="996"/>
      <c r="B460" s="997"/>
      <c r="C460" s="997"/>
      <c r="D460" s="997"/>
      <c r="E460" s="997"/>
      <c r="F460" s="997"/>
      <c r="G460" s="997"/>
      <c r="H460" s="997"/>
      <c r="I460" s="397" t="s">
        <v>464</v>
      </c>
      <c r="J460" s="38">
        <f t="shared" si="0"/>
        <v>0</v>
      </c>
      <c r="K460" s="396" t="s">
        <v>32</v>
      </c>
      <c r="L460" s="420">
        <f t="shared" si="6"/>
        <v>0</v>
      </c>
      <c r="M460" s="419"/>
      <c r="N460" s="396"/>
      <c r="O460" s="397" t="s">
        <v>464</v>
      </c>
      <c r="P460" s="38">
        <f t="shared" si="1"/>
        <v>0</v>
      </c>
      <c r="Q460" s="396" t="s">
        <v>32</v>
      </c>
      <c r="R460" s="420">
        <f t="shared" si="7"/>
        <v>0</v>
      </c>
      <c r="S460" s="396"/>
      <c r="T460" s="396"/>
      <c r="U460" s="397" t="s">
        <v>464</v>
      </c>
      <c r="V460" s="38">
        <f t="shared" si="2"/>
        <v>0</v>
      </c>
      <c r="W460" s="396" t="s">
        <v>32</v>
      </c>
      <c r="X460" s="420">
        <f t="shared" si="8"/>
        <v>0</v>
      </c>
      <c r="Y460" s="396"/>
      <c r="Z460" s="396"/>
      <c r="AA460" s="397" t="s">
        <v>464</v>
      </c>
      <c r="AB460" s="38">
        <f t="shared" si="3"/>
        <v>0</v>
      </c>
      <c r="AC460" s="396" t="s">
        <v>32</v>
      </c>
      <c r="AD460" s="420">
        <f t="shared" si="9"/>
        <v>0</v>
      </c>
      <c r="AE460" s="396"/>
      <c r="AF460" s="396"/>
      <c r="AG460" s="397" t="s">
        <v>464</v>
      </c>
      <c r="AH460" s="38">
        <f t="shared" si="4"/>
        <v>0</v>
      </c>
      <c r="AI460" s="396" t="s">
        <v>32</v>
      </c>
      <c r="AJ460" s="420">
        <f t="shared" si="10"/>
        <v>0</v>
      </c>
      <c r="AK460" s="396"/>
      <c r="AL460" s="396"/>
      <c r="AM460" s="397" t="s">
        <v>464</v>
      </c>
      <c r="AN460" s="38">
        <f t="shared" si="5"/>
        <v>0</v>
      </c>
      <c r="AO460" s="396" t="s">
        <v>32</v>
      </c>
      <c r="AP460" s="420">
        <f t="shared" si="11"/>
        <v>0</v>
      </c>
      <c r="AQ460" s="634"/>
      <c r="AR460" s="606"/>
      <c r="AS460" s="394"/>
      <c r="AT460" s="393"/>
      <c r="AU460" s="395"/>
      <c r="AV460" s="278"/>
      <c r="AW460" s="278"/>
      <c r="AX460" s="278"/>
      <c r="AY460" s="278"/>
      <c r="AZ460" s="278"/>
      <c r="BA460" s="278"/>
      <c r="BB460" s="278"/>
      <c r="BC460" s="278"/>
      <c r="BD460" s="278"/>
    </row>
    <row r="461" spans="1:56" ht="28.5">
      <c r="A461" s="996"/>
      <c r="B461" s="997"/>
      <c r="C461" s="997"/>
      <c r="D461" s="997"/>
      <c r="E461" s="997"/>
      <c r="F461" s="997"/>
      <c r="G461" s="997"/>
      <c r="H461" s="997"/>
      <c r="I461" s="397" t="s">
        <v>68</v>
      </c>
      <c r="J461" s="38">
        <f t="shared" si="0"/>
        <v>6220</v>
      </c>
      <c r="K461" s="396" t="s">
        <v>2681</v>
      </c>
      <c r="L461" s="420">
        <f t="shared" si="6"/>
        <v>21240</v>
      </c>
      <c r="M461" s="419"/>
      <c r="N461" s="396"/>
      <c r="O461" s="397" t="s">
        <v>68</v>
      </c>
      <c r="P461" s="38">
        <f t="shared" si="1"/>
        <v>0</v>
      </c>
      <c r="Q461" s="396" t="s">
        <v>2681</v>
      </c>
      <c r="R461" s="420">
        <f t="shared" si="7"/>
        <v>0</v>
      </c>
      <c r="S461" s="396"/>
      <c r="T461" s="396"/>
      <c r="U461" s="397" t="s">
        <v>68</v>
      </c>
      <c r="V461" s="38">
        <f t="shared" si="2"/>
        <v>0</v>
      </c>
      <c r="W461" s="396" t="s">
        <v>2681</v>
      </c>
      <c r="X461" s="420">
        <f t="shared" si="8"/>
        <v>0</v>
      </c>
      <c r="Y461" s="396"/>
      <c r="Z461" s="396"/>
      <c r="AA461" s="397" t="s">
        <v>68</v>
      </c>
      <c r="AB461" s="38">
        <f t="shared" si="3"/>
        <v>0</v>
      </c>
      <c r="AC461" s="396" t="s">
        <v>2681</v>
      </c>
      <c r="AD461" s="420">
        <f t="shared" si="9"/>
        <v>0</v>
      </c>
      <c r="AE461" s="396"/>
      <c r="AF461" s="396"/>
      <c r="AG461" s="397" t="s">
        <v>68</v>
      </c>
      <c r="AH461" s="38">
        <f t="shared" si="4"/>
        <v>0</v>
      </c>
      <c r="AI461" s="396" t="s">
        <v>2681</v>
      </c>
      <c r="AJ461" s="420">
        <f t="shared" si="10"/>
        <v>0</v>
      </c>
      <c r="AK461" s="396"/>
      <c r="AL461" s="396"/>
      <c r="AM461" s="397" t="s">
        <v>68</v>
      </c>
      <c r="AN461" s="38">
        <f t="shared" si="5"/>
        <v>0</v>
      </c>
      <c r="AO461" s="396" t="s">
        <v>2681</v>
      </c>
      <c r="AP461" s="420">
        <f t="shared" si="11"/>
        <v>0</v>
      </c>
      <c r="AQ461" s="634"/>
      <c r="AR461" s="606"/>
      <c r="AS461" s="394"/>
      <c r="AT461" s="393"/>
      <c r="AU461" s="395"/>
      <c r="AV461" s="278"/>
      <c r="AW461" s="278"/>
      <c r="AX461" s="278"/>
      <c r="AY461" s="278"/>
      <c r="AZ461" s="278"/>
      <c r="BA461" s="278"/>
      <c r="BB461" s="278"/>
      <c r="BC461" s="278"/>
      <c r="BD461" s="278"/>
    </row>
    <row r="462" spans="1:56" ht="42.75">
      <c r="A462" s="996"/>
      <c r="B462" s="997"/>
      <c r="C462" s="997"/>
      <c r="D462" s="997"/>
      <c r="E462" s="997"/>
      <c r="F462" s="997"/>
      <c r="G462" s="997"/>
      <c r="H462" s="997"/>
      <c r="I462" s="397" t="s">
        <v>465</v>
      </c>
      <c r="J462" s="38">
        <f t="shared" si="0"/>
        <v>0</v>
      </c>
      <c r="K462" s="396" t="s">
        <v>2681</v>
      </c>
      <c r="L462" s="420">
        <f t="shared" si="6"/>
        <v>0</v>
      </c>
      <c r="M462" s="419"/>
      <c r="N462" s="396"/>
      <c r="O462" s="397" t="s">
        <v>465</v>
      </c>
      <c r="P462" s="38">
        <f t="shared" si="1"/>
        <v>0</v>
      </c>
      <c r="Q462" s="396" t="s">
        <v>2681</v>
      </c>
      <c r="R462" s="420">
        <f t="shared" si="7"/>
        <v>0</v>
      </c>
      <c r="S462" s="396"/>
      <c r="T462" s="396"/>
      <c r="U462" s="397" t="s">
        <v>465</v>
      </c>
      <c r="V462" s="38">
        <f t="shared" si="2"/>
        <v>0</v>
      </c>
      <c r="W462" s="396" t="s">
        <v>2681</v>
      </c>
      <c r="X462" s="420">
        <f t="shared" si="8"/>
        <v>0</v>
      </c>
      <c r="Y462" s="396"/>
      <c r="Z462" s="396"/>
      <c r="AA462" s="397" t="s">
        <v>465</v>
      </c>
      <c r="AB462" s="38">
        <f t="shared" si="3"/>
        <v>0</v>
      </c>
      <c r="AC462" s="396" t="s">
        <v>2681</v>
      </c>
      <c r="AD462" s="420">
        <f t="shared" si="9"/>
        <v>0</v>
      </c>
      <c r="AE462" s="396"/>
      <c r="AF462" s="396"/>
      <c r="AG462" s="397" t="s">
        <v>465</v>
      </c>
      <c r="AH462" s="38">
        <f t="shared" si="4"/>
        <v>0</v>
      </c>
      <c r="AI462" s="396" t="s">
        <v>2681</v>
      </c>
      <c r="AJ462" s="420">
        <f t="shared" si="10"/>
        <v>0</v>
      </c>
      <c r="AK462" s="396"/>
      <c r="AL462" s="396"/>
      <c r="AM462" s="397" t="s">
        <v>465</v>
      </c>
      <c r="AN462" s="38">
        <f t="shared" si="5"/>
        <v>0</v>
      </c>
      <c r="AO462" s="396" t="s">
        <v>2681</v>
      </c>
      <c r="AP462" s="420">
        <f t="shared" si="11"/>
        <v>0</v>
      </c>
      <c r="AQ462" s="634"/>
      <c r="AR462" s="606"/>
      <c r="AS462" s="394"/>
      <c r="AT462" s="393"/>
      <c r="AU462" s="395"/>
      <c r="AV462" s="278"/>
      <c r="AW462" s="278"/>
      <c r="AX462" s="278"/>
      <c r="AY462" s="278"/>
      <c r="AZ462" s="278"/>
      <c r="BA462" s="278"/>
      <c r="BB462" s="278"/>
      <c r="BC462" s="278"/>
      <c r="BD462" s="278"/>
    </row>
    <row r="463" spans="1:56" ht="28.5">
      <c r="A463" s="996"/>
      <c r="B463" s="997"/>
      <c r="C463" s="997"/>
      <c r="D463" s="997"/>
      <c r="E463" s="997"/>
      <c r="F463" s="997"/>
      <c r="G463" s="997"/>
      <c r="H463" s="997"/>
      <c r="I463" s="397" t="s">
        <v>112</v>
      </c>
      <c r="J463" s="38">
        <f t="shared" si="0"/>
        <v>0</v>
      </c>
      <c r="K463" s="396" t="s">
        <v>32</v>
      </c>
      <c r="L463" s="420">
        <f t="shared" si="6"/>
        <v>0</v>
      </c>
      <c r="M463" s="419"/>
      <c r="N463" s="396"/>
      <c r="O463" s="397" t="s">
        <v>112</v>
      </c>
      <c r="P463" s="38">
        <f t="shared" si="1"/>
        <v>0</v>
      </c>
      <c r="Q463" s="396" t="s">
        <v>32</v>
      </c>
      <c r="R463" s="420">
        <f t="shared" si="7"/>
        <v>0</v>
      </c>
      <c r="S463" s="396"/>
      <c r="T463" s="396"/>
      <c r="U463" s="397" t="s">
        <v>112</v>
      </c>
      <c r="V463" s="38">
        <f t="shared" si="2"/>
        <v>0</v>
      </c>
      <c r="W463" s="396" t="s">
        <v>32</v>
      </c>
      <c r="X463" s="420">
        <f t="shared" si="8"/>
        <v>0</v>
      </c>
      <c r="Y463" s="396"/>
      <c r="Z463" s="396"/>
      <c r="AA463" s="397" t="s">
        <v>112</v>
      </c>
      <c r="AB463" s="38">
        <f t="shared" si="3"/>
        <v>0</v>
      </c>
      <c r="AC463" s="396" t="s">
        <v>32</v>
      </c>
      <c r="AD463" s="420">
        <f t="shared" si="9"/>
        <v>0</v>
      </c>
      <c r="AE463" s="396"/>
      <c r="AF463" s="396"/>
      <c r="AG463" s="397" t="s">
        <v>112</v>
      </c>
      <c r="AH463" s="38">
        <f t="shared" si="4"/>
        <v>532.20000000000005</v>
      </c>
      <c r="AI463" s="396" t="s">
        <v>32</v>
      </c>
      <c r="AJ463" s="420">
        <f t="shared" si="10"/>
        <v>1000000</v>
      </c>
      <c r="AK463" s="396"/>
      <c r="AL463" s="396"/>
      <c r="AM463" s="397" t="s">
        <v>112</v>
      </c>
      <c r="AN463" s="38">
        <f t="shared" si="5"/>
        <v>532.20000000000005</v>
      </c>
      <c r="AO463" s="396" t="s">
        <v>32</v>
      </c>
      <c r="AP463" s="420">
        <f t="shared" si="11"/>
        <v>3799761.6938510002</v>
      </c>
      <c r="AQ463" s="634"/>
      <c r="AR463" s="606"/>
      <c r="AS463" s="394"/>
      <c r="AT463" s="393"/>
      <c r="AU463" s="395"/>
      <c r="AV463" s="278"/>
      <c r="AW463" s="278"/>
      <c r="AX463" s="278"/>
      <c r="AY463" s="278"/>
      <c r="AZ463" s="278"/>
      <c r="BA463" s="278"/>
      <c r="BB463" s="278"/>
      <c r="BC463" s="278"/>
      <c r="BD463" s="278"/>
    </row>
    <row r="464" spans="1:56" ht="42.75">
      <c r="A464" s="996"/>
      <c r="B464" s="997"/>
      <c r="C464" s="997"/>
      <c r="D464" s="997"/>
      <c r="E464" s="997"/>
      <c r="F464" s="997"/>
      <c r="G464" s="997"/>
      <c r="H464" s="997"/>
      <c r="I464" s="397" t="s">
        <v>466</v>
      </c>
      <c r="J464" s="38">
        <f t="shared" si="0"/>
        <v>0</v>
      </c>
      <c r="K464" s="396" t="s">
        <v>32</v>
      </c>
      <c r="L464" s="420">
        <f t="shared" si="6"/>
        <v>0</v>
      </c>
      <c r="M464" s="419"/>
      <c r="N464" s="396"/>
      <c r="O464" s="397" t="s">
        <v>466</v>
      </c>
      <c r="P464" s="38">
        <f t="shared" si="1"/>
        <v>0</v>
      </c>
      <c r="Q464" s="396" t="s">
        <v>32</v>
      </c>
      <c r="R464" s="420">
        <f t="shared" si="7"/>
        <v>0</v>
      </c>
      <c r="S464" s="396"/>
      <c r="T464" s="396"/>
      <c r="U464" s="397" t="s">
        <v>466</v>
      </c>
      <c r="V464" s="38">
        <f t="shared" si="2"/>
        <v>0</v>
      </c>
      <c r="W464" s="396" t="s">
        <v>32</v>
      </c>
      <c r="X464" s="420">
        <f t="shared" si="8"/>
        <v>0</v>
      </c>
      <c r="Y464" s="396"/>
      <c r="Z464" s="396"/>
      <c r="AA464" s="397" t="s">
        <v>466</v>
      </c>
      <c r="AB464" s="38">
        <f t="shared" si="3"/>
        <v>0</v>
      </c>
      <c r="AC464" s="396" t="s">
        <v>32</v>
      </c>
      <c r="AD464" s="420">
        <f t="shared" si="9"/>
        <v>0</v>
      </c>
      <c r="AE464" s="396"/>
      <c r="AF464" s="396"/>
      <c r="AG464" s="397" t="s">
        <v>466</v>
      </c>
      <c r="AH464" s="38">
        <f t="shared" si="4"/>
        <v>0</v>
      </c>
      <c r="AI464" s="396" t="s">
        <v>32</v>
      </c>
      <c r="AJ464" s="420">
        <f t="shared" si="10"/>
        <v>0</v>
      </c>
      <c r="AK464" s="396"/>
      <c r="AL464" s="396"/>
      <c r="AM464" s="397" t="s">
        <v>466</v>
      </c>
      <c r="AN464" s="38">
        <f t="shared" si="5"/>
        <v>0</v>
      </c>
      <c r="AO464" s="396" t="s">
        <v>32</v>
      </c>
      <c r="AP464" s="420">
        <f t="shared" si="11"/>
        <v>0</v>
      </c>
      <c r="AQ464" s="634"/>
      <c r="AR464" s="606"/>
      <c r="AS464" s="394"/>
      <c r="AT464" s="393"/>
      <c r="AU464" s="395"/>
      <c r="AV464" s="278"/>
      <c r="AW464" s="278"/>
      <c r="AX464" s="278"/>
      <c r="AY464" s="278"/>
      <c r="AZ464" s="278"/>
      <c r="BA464" s="278"/>
      <c r="BB464" s="278"/>
      <c r="BC464" s="278"/>
      <c r="BD464" s="278"/>
    </row>
    <row r="465" spans="1:56" ht="42.75">
      <c r="A465" s="996"/>
      <c r="B465" s="997"/>
      <c r="C465" s="997"/>
      <c r="D465" s="997"/>
      <c r="E465" s="997"/>
      <c r="F465" s="997"/>
      <c r="G465" s="997"/>
      <c r="H465" s="997"/>
      <c r="I465" s="397" t="s">
        <v>467</v>
      </c>
      <c r="J465" s="38">
        <f t="shared" si="0"/>
        <v>0</v>
      </c>
      <c r="K465" s="396" t="s">
        <v>32</v>
      </c>
      <c r="L465" s="420">
        <f t="shared" si="6"/>
        <v>0</v>
      </c>
      <c r="M465" s="419"/>
      <c r="N465" s="396"/>
      <c r="O465" s="397" t="s">
        <v>467</v>
      </c>
      <c r="P465" s="38">
        <f t="shared" si="1"/>
        <v>0</v>
      </c>
      <c r="Q465" s="396" t="s">
        <v>32</v>
      </c>
      <c r="R465" s="420">
        <f t="shared" si="7"/>
        <v>0</v>
      </c>
      <c r="S465" s="396"/>
      <c r="T465" s="396"/>
      <c r="U465" s="397" t="s">
        <v>467</v>
      </c>
      <c r="V465" s="38">
        <f t="shared" si="2"/>
        <v>0</v>
      </c>
      <c r="W465" s="396" t="s">
        <v>32</v>
      </c>
      <c r="X465" s="420">
        <f t="shared" si="8"/>
        <v>0</v>
      </c>
      <c r="Y465" s="396"/>
      <c r="Z465" s="396"/>
      <c r="AA465" s="397" t="s">
        <v>467</v>
      </c>
      <c r="AB465" s="38">
        <f t="shared" si="3"/>
        <v>0</v>
      </c>
      <c r="AC465" s="396" t="s">
        <v>32</v>
      </c>
      <c r="AD465" s="420">
        <f t="shared" si="9"/>
        <v>0</v>
      </c>
      <c r="AE465" s="396"/>
      <c r="AF465" s="396"/>
      <c r="AG465" s="397" t="s">
        <v>467</v>
      </c>
      <c r="AH465" s="38">
        <f t="shared" si="4"/>
        <v>0</v>
      </c>
      <c r="AI465" s="396" t="s">
        <v>32</v>
      </c>
      <c r="AJ465" s="420">
        <f t="shared" si="10"/>
        <v>0</v>
      </c>
      <c r="AK465" s="396"/>
      <c r="AL465" s="396"/>
      <c r="AM465" s="397" t="s">
        <v>467</v>
      </c>
      <c r="AN465" s="38">
        <f t="shared" si="5"/>
        <v>0</v>
      </c>
      <c r="AO465" s="396" t="s">
        <v>32</v>
      </c>
      <c r="AP465" s="420">
        <f t="shared" si="11"/>
        <v>0</v>
      </c>
      <c r="AQ465" s="634"/>
      <c r="AR465" s="606"/>
      <c r="AS465" s="394"/>
      <c r="AT465" s="393"/>
      <c r="AU465" s="395"/>
      <c r="AV465" s="278"/>
      <c r="AW465" s="278"/>
      <c r="AX465" s="278"/>
      <c r="AY465" s="278"/>
      <c r="AZ465" s="278"/>
      <c r="BA465" s="278"/>
      <c r="BB465" s="278"/>
      <c r="BC465" s="278"/>
      <c r="BD465" s="278"/>
    </row>
    <row r="466" spans="1:56" ht="42.75">
      <c r="A466" s="996"/>
      <c r="B466" s="997"/>
      <c r="C466" s="997"/>
      <c r="D466" s="997"/>
      <c r="E466" s="997"/>
      <c r="F466" s="997"/>
      <c r="G466" s="997"/>
      <c r="H466" s="997"/>
      <c r="I466" s="397" t="s">
        <v>468</v>
      </c>
      <c r="J466" s="38">
        <f t="shared" si="0"/>
        <v>0</v>
      </c>
      <c r="K466" s="396" t="s">
        <v>118</v>
      </c>
      <c r="L466" s="420">
        <f t="shared" si="6"/>
        <v>0</v>
      </c>
      <c r="M466" s="419"/>
      <c r="N466" s="396"/>
      <c r="O466" s="397" t="s">
        <v>468</v>
      </c>
      <c r="P466" s="38">
        <f t="shared" si="1"/>
        <v>0</v>
      </c>
      <c r="Q466" s="396" t="s">
        <v>118</v>
      </c>
      <c r="R466" s="420">
        <f t="shared" si="7"/>
        <v>0</v>
      </c>
      <c r="S466" s="396"/>
      <c r="T466" s="396"/>
      <c r="U466" s="397" t="s">
        <v>468</v>
      </c>
      <c r="V466" s="38">
        <f t="shared" si="2"/>
        <v>0</v>
      </c>
      <c r="W466" s="396" t="s">
        <v>118</v>
      </c>
      <c r="X466" s="420">
        <f t="shared" si="8"/>
        <v>0</v>
      </c>
      <c r="Y466" s="396"/>
      <c r="Z466" s="396"/>
      <c r="AA466" s="397" t="s">
        <v>468</v>
      </c>
      <c r="AB466" s="38">
        <f t="shared" si="3"/>
        <v>0</v>
      </c>
      <c r="AC466" s="396" t="s">
        <v>118</v>
      </c>
      <c r="AD466" s="420">
        <f t="shared" si="9"/>
        <v>0</v>
      </c>
      <c r="AE466" s="396"/>
      <c r="AF466" s="396"/>
      <c r="AG466" s="397" t="s">
        <v>468</v>
      </c>
      <c r="AH466" s="38">
        <f t="shared" si="4"/>
        <v>0</v>
      </c>
      <c r="AI466" s="396" t="s">
        <v>118</v>
      </c>
      <c r="AJ466" s="420">
        <f t="shared" si="10"/>
        <v>0</v>
      </c>
      <c r="AK466" s="396"/>
      <c r="AL466" s="396"/>
      <c r="AM466" s="397" t="s">
        <v>468</v>
      </c>
      <c r="AN466" s="38">
        <f t="shared" si="5"/>
        <v>0</v>
      </c>
      <c r="AO466" s="396" t="s">
        <v>118</v>
      </c>
      <c r="AP466" s="420">
        <f t="shared" si="11"/>
        <v>0</v>
      </c>
      <c r="AQ466" s="634"/>
      <c r="AR466" s="606"/>
      <c r="AS466" s="394"/>
      <c r="AT466" s="393"/>
      <c r="AU466" s="395"/>
      <c r="AV466" s="278"/>
      <c r="AW466" s="278"/>
      <c r="AX466" s="278"/>
      <c r="AY466" s="278"/>
      <c r="AZ466" s="278"/>
      <c r="BA466" s="278"/>
      <c r="BB466" s="278"/>
      <c r="BC466" s="278"/>
      <c r="BD466" s="278"/>
    </row>
    <row r="467" spans="1:56" ht="42.75">
      <c r="A467" s="996"/>
      <c r="B467" s="997"/>
      <c r="C467" s="997"/>
      <c r="D467" s="997"/>
      <c r="E467" s="997"/>
      <c r="F467" s="997"/>
      <c r="G467" s="997"/>
      <c r="H467" s="997"/>
      <c r="I467" s="397" t="s">
        <v>469</v>
      </c>
      <c r="J467" s="38">
        <f t="shared" si="0"/>
        <v>0</v>
      </c>
      <c r="K467" s="396" t="s">
        <v>2681</v>
      </c>
      <c r="L467" s="420">
        <f t="shared" si="6"/>
        <v>0</v>
      </c>
      <c r="M467" s="419"/>
      <c r="N467" s="396"/>
      <c r="O467" s="397" t="s">
        <v>469</v>
      </c>
      <c r="P467" s="38">
        <f t="shared" si="1"/>
        <v>0</v>
      </c>
      <c r="Q467" s="396" t="s">
        <v>2681</v>
      </c>
      <c r="R467" s="420">
        <f t="shared" si="7"/>
        <v>0</v>
      </c>
      <c r="S467" s="396"/>
      <c r="T467" s="396"/>
      <c r="U467" s="397" t="s">
        <v>469</v>
      </c>
      <c r="V467" s="38">
        <f t="shared" si="2"/>
        <v>0</v>
      </c>
      <c r="W467" s="396" t="s">
        <v>2681</v>
      </c>
      <c r="X467" s="420">
        <f t="shared" si="8"/>
        <v>0</v>
      </c>
      <c r="Y467" s="396"/>
      <c r="Z467" s="396"/>
      <c r="AA467" s="397" t="s">
        <v>469</v>
      </c>
      <c r="AB467" s="38">
        <f t="shared" si="3"/>
        <v>0</v>
      </c>
      <c r="AC467" s="396" t="s">
        <v>2681</v>
      </c>
      <c r="AD467" s="420">
        <f t="shared" si="9"/>
        <v>0</v>
      </c>
      <c r="AE467" s="396"/>
      <c r="AF467" s="396"/>
      <c r="AG467" s="397" t="s">
        <v>469</v>
      </c>
      <c r="AH467" s="38">
        <f t="shared" si="4"/>
        <v>0</v>
      </c>
      <c r="AI467" s="396" t="s">
        <v>2681</v>
      </c>
      <c r="AJ467" s="420">
        <f t="shared" si="10"/>
        <v>0</v>
      </c>
      <c r="AK467" s="396"/>
      <c r="AL467" s="396"/>
      <c r="AM467" s="397" t="s">
        <v>469</v>
      </c>
      <c r="AN467" s="38">
        <f t="shared" si="5"/>
        <v>0</v>
      </c>
      <c r="AO467" s="396" t="s">
        <v>2681</v>
      </c>
      <c r="AP467" s="420">
        <f t="shared" si="11"/>
        <v>0</v>
      </c>
      <c r="AQ467" s="634"/>
      <c r="AR467" s="606"/>
      <c r="AS467" s="394"/>
      <c r="AT467" s="393"/>
      <c r="AU467" s="395"/>
      <c r="AV467" s="278"/>
      <c r="AW467" s="278"/>
      <c r="AX467" s="278"/>
      <c r="AY467" s="278"/>
      <c r="AZ467" s="278"/>
      <c r="BA467" s="278"/>
      <c r="BB467" s="278"/>
      <c r="BC467" s="278"/>
      <c r="BD467" s="278"/>
    </row>
    <row r="468" spans="1:56" ht="71.25">
      <c r="A468" s="996"/>
      <c r="B468" s="997"/>
      <c r="C468" s="997"/>
      <c r="D468" s="997"/>
      <c r="E468" s="997"/>
      <c r="F468" s="997"/>
      <c r="G468" s="997"/>
      <c r="H468" s="997"/>
      <c r="I468" s="397" t="s">
        <v>470</v>
      </c>
      <c r="J468" s="38">
        <f t="shared" si="0"/>
        <v>0</v>
      </c>
      <c r="K468" s="396" t="s">
        <v>118</v>
      </c>
      <c r="L468" s="420">
        <f t="shared" si="6"/>
        <v>0</v>
      </c>
      <c r="M468" s="419"/>
      <c r="N468" s="396"/>
      <c r="O468" s="397" t="s">
        <v>470</v>
      </c>
      <c r="P468" s="38">
        <f t="shared" si="1"/>
        <v>0</v>
      </c>
      <c r="Q468" s="396" t="s">
        <v>118</v>
      </c>
      <c r="R468" s="420">
        <f t="shared" si="7"/>
        <v>0</v>
      </c>
      <c r="S468" s="396"/>
      <c r="T468" s="396"/>
      <c r="U468" s="397" t="s">
        <v>470</v>
      </c>
      <c r="V468" s="38">
        <f t="shared" si="2"/>
        <v>0</v>
      </c>
      <c r="W468" s="396" t="s">
        <v>118</v>
      </c>
      <c r="X468" s="420">
        <f t="shared" si="8"/>
        <v>0</v>
      </c>
      <c r="Y468" s="396"/>
      <c r="Z468" s="396"/>
      <c r="AA468" s="397" t="s">
        <v>470</v>
      </c>
      <c r="AB468" s="38">
        <f t="shared" si="3"/>
        <v>0</v>
      </c>
      <c r="AC468" s="396" t="s">
        <v>118</v>
      </c>
      <c r="AD468" s="420">
        <f t="shared" si="9"/>
        <v>0</v>
      </c>
      <c r="AE468" s="396"/>
      <c r="AF468" s="396"/>
      <c r="AG468" s="397" t="s">
        <v>470</v>
      </c>
      <c r="AH468" s="38">
        <f t="shared" si="4"/>
        <v>0</v>
      </c>
      <c r="AI468" s="396" t="s">
        <v>118</v>
      </c>
      <c r="AJ468" s="420">
        <f t="shared" si="10"/>
        <v>0</v>
      </c>
      <c r="AK468" s="396"/>
      <c r="AL468" s="396"/>
      <c r="AM468" s="397" t="s">
        <v>470</v>
      </c>
      <c r="AN468" s="38">
        <f t="shared" si="5"/>
        <v>0</v>
      </c>
      <c r="AO468" s="396" t="s">
        <v>118</v>
      </c>
      <c r="AP468" s="420">
        <f t="shared" si="11"/>
        <v>0</v>
      </c>
      <c r="AQ468" s="634"/>
      <c r="AR468" s="606"/>
      <c r="AS468" s="394"/>
      <c r="AT468" s="393"/>
      <c r="AU468" s="395"/>
      <c r="AV468" s="278"/>
      <c r="AW468" s="278"/>
      <c r="AX468" s="278"/>
      <c r="AY468" s="278"/>
      <c r="AZ468" s="278"/>
      <c r="BA468" s="278"/>
      <c r="BB468" s="278"/>
      <c r="BC468" s="278"/>
      <c r="BD468" s="278"/>
    </row>
    <row r="469" spans="1:56">
      <c r="A469" s="996"/>
      <c r="B469" s="997"/>
      <c r="C469" s="997"/>
      <c r="D469" s="997"/>
      <c r="E469" s="997"/>
      <c r="F469" s="997"/>
      <c r="G469" s="997"/>
      <c r="H469" s="997"/>
      <c r="I469" s="397" t="s">
        <v>471</v>
      </c>
      <c r="J469" s="38">
        <f t="shared" si="0"/>
        <v>34</v>
      </c>
      <c r="K469" s="396"/>
      <c r="L469" s="420">
        <f t="shared" si="6"/>
        <v>1501.0952600000001</v>
      </c>
      <c r="M469" s="419"/>
      <c r="N469" s="396"/>
      <c r="O469" s="397" t="s">
        <v>471</v>
      </c>
      <c r="P469" s="38">
        <f t="shared" si="1"/>
        <v>0</v>
      </c>
      <c r="Q469" s="396"/>
      <c r="R469" s="420">
        <f t="shared" si="7"/>
        <v>0</v>
      </c>
      <c r="S469" s="396"/>
      <c r="T469" s="396"/>
      <c r="U469" s="397" t="s">
        <v>471</v>
      </c>
      <c r="V469" s="38">
        <f t="shared" si="2"/>
        <v>0</v>
      </c>
      <c r="W469" s="396"/>
      <c r="X469" s="420">
        <f t="shared" si="8"/>
        <v>0</v>
      </c>
      <c r="Y469" s="396"/>
      <c r="Z469" s="396"/>
      <c r="AA469" s="397" t="s">
        <v>471</v>
      </c>
      <c r="AB469" s="38">
        <f t="shared" si="3"/>
        <v>0</v>
      </c>
      <c r="AC469" s="396"/>
      <c r="AD469" s="420">
        <f t="shared" si="9"/>
        <v>0</v>
      </c>
      <c r="AE469" s="396"/>
      <c r="AF469" s="396"/>
      <c r="AG469" s="397" t="s">
        <v>471</v>
      </c>
      <c r="AH469" s="38">
        <f t="shared" si="4"/>
        <v>0</v>
      </c>
      <c r="AI469" s="396"/>
      <c r="AJ469" s="420">
        <f t="shared" si="10"/>
        <v>0</v>
      </c>
      <c r="AK469" s="396"/>
      <c r="AL469" s="396"/>
      <c r="AM469" s="397" t="s">
        <v>471</v>
      </c>
      <c r="AN469" s="38">
        <f t="shared" si="5"/>
        <v>0</v>
      </c>
      <c r="AO469" s="396"/>
      <c r="AP469" s="420">
        <f t="shared" si="11"/>
        <v>0</v>
      </c>
      <c r="AQ469" s="634"/>
      <c r="AR469" s="606"/>
      <c r="AS469" s="394"/>
      <c r="AT469" s="393"/>
      <c r="AU469" s="395"/>
      <c r="AV469" s="278"/>
      <c r="AW469" s="278"/>
      <c r="AX469" s="278"/>
      <c r="AY469" s="278"/>
      <c r="AZ469" s="278"/>
      <c r="BA469" s="278"/>
      <c r="BB469" s="278"/>
      <c r="BC469" s="278"/>
      <c r="BD469" s="278"/>
    </row>
    <row r="470" spans="1:56">
      <c r="A470" s="399">
        <v>1</v>
      </c>
      <c r="B470" s="398"/>
      <c r="C470" s="398"/>
      <c r="D470" s="398"/>
      <c r="E470" s="398"/>
      <c r="F470" s="398"/>
      <c r="G470" s="398"/>
      <c r="H470" s="398"/>
      <c r="I470" s="398"/>
      <c r="J470" s="398"/>
      <c r="K470" s="398"/>
      <c r="L470" s="398"/>
      <c r="M470" s="398"/>
      <c r="N470" s="398"/>
      <c r="O470" s="398"/>
      <c r="P470" s="398"/>
      <c r="Q470" s="398"/>
      <c r="R470" s="398"/>
      <c r="S470" s="398"/>
      <c r="T470" s="398"/>
      <c r="U470" s="398"/>
      <c r="V470" s="398"/>
      <c r="W470" s="398"/>
      <c r="X470" s="398"/>
      <c r="Y470" s="398"/>
      <c r="Z470" s="398"/>
      <c r="AA470" s="398"/>
      <c r="AB470" s="398"/>
      <c r="AC470" s="398"/>
      <c r="AD470" s="398"/>
      <c r="AE470" s="398"/>
      <c r="AF470" s="398"/>
      <c r="AG470" s="398"/>
      <c r="AH470" s="398"/>
      <c r="AI470" s="398"/>
      <c r="AJ470" s="398"/>
      <c r="AK470" s="398"/>
      <c r="AL470" s="398"/>
      <c r="AM470" s="398"/>
      <c r="AN470" s="398"/>
      <c r="AO470" s="398"/>
      <c r="AP470" s="401"/>
      <c r="AQ470" s="634"/>
      <c r="AR470" s="606"/>
      <c r="AS470" s="394"/>
      <c r="AT470" s="393"/>
      <c r="AU470" s="395"/>
      <c r="AV470" s="278"/>
      <c r="AW470" s="278"/>
      <c r="AX470" s="278"/>
      <c r="AY470" s="278"/>
      <c r="AZ470" s="278"/>
      <c r="BA470" s="278"/>
      <c r="BB470" s="278"/>
      <c r="BC470" s="278"/>
      <c r="BD470" s="278"/>
    </row>
    <row r="471" spans="1:56">
      <c r="A471" s="399">
        <v>2</v>
      </c>
      <c r="B471" s="398"/>
      <c r="C471" s="398"/>
      <c r="D471" s="398"/>
      <c r="E471" s="398"/>
      <c r="F471" s="398"/>
      <c r="G471" s="398"/>
      <c r="H471" s="398"/>
      <c r="I471" s="398"/>
      <c r="J471" s="398"/>
      <c r="K471" s="398"/>
      <c r="L471" s="398"/>
      <c r="M471" s="398"/>
      <c r="N471" s="398"/>
      <c r="O471" s="398"/>
      <c r="P471" s="398"/>
      <c r="Q471" s="398"/>
      <c r="R471" s="398"/>
      <c r="S471" s="398"/>
      <c r="T471" s="398"/>
      <c r="U471" s="398"/>
      <c r="V471" s="398"/>
      <c r="W471" s="398"/>
      <c r="X471" s="398"/>
      <c r="Y471" s="398"/>
      <c r="Z471" s="398"/>
      <c r="AA471" s="398"/>
      <c r="AB471" s="398"/>
      <c r="AC471" s="398"/>
      <c r="AD471" s="398"/>
      <c r="AE471" s="398"/>
      <c r="AF471" s="398"/>
      <c r="AG471" s="398"/>
      <c r="AH471" s="398"/>
      <c r="AI471" s="398"/>
      <c r="AJ471" s="398"/>
      <c r="AK471" s="398"/>
      <c r="AL471" s="398"/>
      <c r="AM471" s="398"/>
      <c r="AN471" s="398"/>
      <c r="AO471" s="398"/>
      <c r="AP471" s="401"/>
      <c r="AQ471" s="634"/>
      <c r="AR471" s="606"/>
      <c r="AS471" s="394"/>
      <c r="AT471" s="393"/>
      <c r="AU471" s="395"/>
      <c r="AV471" s="278"/>
      <c r="AW471" s="278"/>
      <c r="AX471" s="278"/>
      <c r="AY471" s="278"/>
      <c r="AZ471" s="278"/>
      <c r="BA471" s="278"/>
      <c r="BB471" s="278"/>
      <c r="BC471" s="278"/>
      <c r="BD471" s="278"/>
    </row>
    <row r="472" spans="1:56">
      <c r="A472" s="399">
        <v>3</v>
      </c>
      <c r="B472" s="398"/>
      <c r="C472" s="398"/>
      <c r="D472" s="398"/>
      <c r="E472" s="398"/>
      <c r="F472" s="398"/>
      <c r="G472" s="398"/>
      <c r="H472" s="398"/>
      <c r="I472" s="398"/>
      <c r="J472" s="398"/>
      <c r="K472" s="398"/>
      <c r="L472" s="398"/>
      <c r="M472" s="398"/>
      <c r="N472" s="398"/>
      <c r="O472" s="398"/>
      <c r="P472" s="398"/>
      <c r="Q472" s="398"/>
      <c r="R472" s="398"/>
      <c r="S472" s="398"/>
      <c r="T472" s="398"/>
      <c r="U472" s="398"/>
      <c r="V472" s="398"/>
      <c r="W472" s="398"/>
      <c r="X472" s="398"/>
      <c r="Y472" s="398"/>
      <c r="Z472" s="398"/>
      <c r="AA472" s="398"/>
      <c r="AB472" s="398"/>
      <c r="AC472" s="398"/>
      <c r="AD472" s="398"/>
      <c r="AE472" s="398"/>
      <c r="AF472" s="398"/>
      <c r="AG472" s="398"/>
      <c r="AH472" s="398"/>
      <c r="AI472" s="398"/>
      <c r="AJ472" s="398"/>
      <c r="AK472" s="398"/>
      <c r="AL472" s="398"/>
      <c r="AM472" s="398"/>
      <c r="AN472" s="398"/>
      <c r="AO472" s="398"/>
      <c r="AP472" s="401"/>
      <c r="AQ472" s="634"/>
      <c r="AR472" s="606"/>
      <c r="AS472" s="394"/>
      <c r="AT472" s="393"/>
      <c r="AU472" s="395"/>
      <c r="AV472" s="278"/>
      <c r="AW472" s="278"/>
      <c r="AX472" s="278"/>
      <c r="AY472" s="278"/>
      <c r="AZ472" s="278"/>
      <c r="BA472" s="278"/>
      <c r="BB472" s="278"/>
      <c r="BC472" s="278"/>
      <c r="BD472" s="278"/>
    </row>
    <row r="473" spans="1:56" ht="33" customHeight="1">
      <c r="A473" s="931" t="s">
        <v>3249</v>
      </c>
      <c r="B473" s="932"/>
      <c r="C473" s="932"/>
      <c r="D473" s="932"/>
      <c r="E473" s="400"/>
      <c r="F473" s="400"/>
      <c r="G473" s="400"/>
      <c r="H473" s="400"/>
      <c r="I473" s="400"/>
      <c r="J473" s="400"/>
      <c r="K473" s="400"/>
      <c r="L473" s="400"/>
      <c r="M473" s="400"/>
      <c r="N473" s="400"/>
      <c r="O473" s="400"/>
      <c r="P473" s="400"/>
      <c r="Q473" s="400"/>
      <c r="R473" s="400"/>
      <c r="S473" s="400"/>
      <c r="T473" s="400"/>
      <c r="U473" s="400"/>
      <c r="V473" s="400"/>
      <c r="W473" s="400"/>
      <c r="X473" s="400"/>
      <c r="Y473" s="400"/>
      <c r="Z473" s="400"/>
      <c r="AA473" s="400"/>
      <c r="AB473" s="400"/>
      <c r="AC473" s="400"/>
      <c r="AD473" s="400"/>
      <c r="AE473" s="400"/>
      <c r="AF473" s="400"/>
      <c r="AG473" s="400"/>
      <c r="AH473" s="400"/>
      <c r="AI473" s="400"/>
      <c r="AJ473" s="400"/>
      <c r="AK473" s="400"/>
      <c r="AL473" s="400"/>
      <c r="AM473" s="400"/>
      <c r="AN473" s="400"/>
      <c r="AO473" s="400"/>
      <c r="AP473" s="400"/>
      <c r="AQ473" s="634"/>
      <c r="AR473" s="606"/>
      <c r="AS473" s="394"/>
      <c r="AT473" s="393"/>
      <c r="AU473" s="395"/>
      <c r="AV473" s="278"/>
      <c r="AW473" s="278"/>
      <c r="AX473" s="278"/>
      <c r="AY473" s="278"/>
      <c r="AZ473" s="278"/>
      <c r="BA473" s="278"/>
      <c r="BB473" s="278"/>
      <c r="BC473" s="278"/>
      <c r="BD473" s="278"/>
    </row>
    <row r="474" spans="1:56">
      <c r="A474" s="933" t="s">
        <v>3250</v>
      </c>
      <c r="B474" s="934"/>
      <c r="C474" s="934"/>
      <c r="D474" s="934"/>
      <c r="E474" s="934"/>
      <c r="F474" s="934"/>
      <c r="G474" s="934"/>
      <c r="H474" s="934"/>
      <c r="I474" s="930" t="s">
        <v>114</v>
      </c>
      <c r="J474" s="402"/>
      <c r="K474" s="402" t="s">
        <v>17</v>
      </c>
      <c r="L474" s="402"/>
      <c r="M474" s="630"/>
      <c r="N474" s="402"/>
      <c r="O474" s="930" t="s">
        <v>114</v>
      </c>
      <c r="P474" s="402"/>
      <c r="Q474" s="402" t="s">
        <v>17</v>
      </c>
      <c r="R474" s="402"/>
      <c r="S474" s="630"/>
      <c r="T474" s="402"/>
      <c r="U474" s="930" t="s">
        <v>114</v>
      </c>
      <c r="V474" s="402"/>
      <c r="W474" s="402" t="s">
        <v>17</v>
      </c>
      <c r="X474" s="402"/>
      <c r="Y474" s="630"/>
      <c r="Z474" s="402"/>
      <c r="AA474" s="930" t="s">
        <v>114</v>
      </c>
      <c r="AB474" s="402"/>
      <c r="AC474" s="402" t="s">
        <v>17</v>
      </c>
      <c r="AD474" s="402"/>
      <c r="AE474" s="630"/>
      <c r="AF474" s="402"/>
      <c r="AG474" s="930" t="s">
        <v>114</v>
      </c>
      <c r="AH474" s="402"/>
      <c r="AI474" s="402" t="s">
        <v>17</v>
      </c>
      <c r="AJ474" s="402"/>
      <c r="AK474" s="630"/>
      <c r="AL474" s="402"/>
      <c r="AM474" s="930" t="s">
        <v>114</v>
      </c>
      <c r="AN474" s="402"/>
      <c r="AO474" s="402" t="s">
        <v>17</v>
      </c>
      <c r="AP474" s="402"/>
      <c r="AQ474" s="634"/>
      <c r="AR474" s="606"/>
      <c r="AS474" s="394"/>
      <c r="AT474" s="393"/>
      <c r="AU474" s="395"/>
      <c r="AV474" s="278"/>
      <c r="AW474" s="278"/>
      <c r="AX474" s="278"/>
      <c r="AY474" s="278"/>
      <c r="AZ474" s="278"/>
      <c r="BA474" s="278"/>
      <c r="BB474" s="278"/>
      <c r="BC474" s="278"/>
      <c r="BD474" s="278"/>
    </row>
    <row r="475" spans="1:56">
      <c r="A475" s="933"/>
      <c r="B475" s="934"/>
      <c r="C475" s="934"/>
      <c r="D475" s="934"/>
      <c r="E475" s="934"/>
      <c r="F475" s="934"/>
      <c r="G475" s="934"/>
      <c r="H475" s="934"/>
      <c r="I475" s="930"/>
      <c r="J475" s="402"/>
      <c r="K475" s="402" t="s">
        <v>32</v>
      </c>
      <c r="L475" s="402"/>
      <c r="M475" s="630"/>
      <c r="N475" s="402"/>
      <c r="O475" s="930"/>
      <c r="P475" s="402"/>
      <c r="Q475" s="402" t="s">
        <v>32</v>
      </c>
      <c r="R475" s="402"/>
      <c r="S475" s="630"/>
      <c r="T475" s="402"/>
      <c r="U475" s="930"/>
      <c r="V475" s="402"/>
      <c r="W475" s="402" t="s">
        <v>32</v>
      </c>
      <c r="X475" s="402"/>
      <c r="Y475" s="630"/>
      <c r="Z475" s="402"/>
      <c r="AA475" s="930"/>
      <c r="AB475" s="402"/>
      <c r="AC475" s="402" t="s">
        <v>32</v>
      </c>
      <c r="AD475" s="402"/>
      <c r="AE475" s="630"/>
      <c r="AF475" s="402"/>
      <c r="AG475" s="930"/>
      <c r="AH475" s="402"/>
      <c r="AI475" s="402" t="s">
        <v>32</v>
      </c>
      <c r="AJ475" s="402"/>
      <c r="AK475" s="630"/>
      <c r="AL475" s="402"/>
      <c r="AM475" s="930"/>
      <c r="AN475" s="402"/>
      <c r="AO475" s="402" t="s">
        <v>32</v>
      </c>
      <c r="AP475" s="402"/>
      <c r="AQ475" s="634"/>
      <c r="AR475" s="606"/>
      <c r="AS475" s="394"/>
      <c r="AT475" s="393"/>
      <c r="AU475" s="395"/>
      <c r="AV475" s="278"/>
      <c r="AW475" s="278"/>
      <c r="AX475" s="278"/>
      <c r="AY475" s="278"/>
      <c r="AZ475" s="278"/>
      <c r="BA475" s="278"/>
      <c r="BB475" s="278"/>
      <c r="BC475" s="278"/>
      <c r="BD475" s="278"/>
    </row>
    <row r="476" spans="1:56">
      <c r="A476" s="933"/>
      <c r="B476" s="934"/>
      <c r="C476" s="934"/>
      <c r="D476" s="934"/>
      <c r="E476" s="934"/>
      <c r="F476" s="934"/>
      <c r="G476" s="934"/>
      <c r="H476" s="934"/>
      <c r="I476" s="930" t="s">
        <v>115</v>
      </c>
      <c r="J476" s="402"/>
      <c r="K476" s="402" t="s">
        <v>17</v>
      </c>
      <c r="L476" s="402"/>
      <c r="M476" s="630"/>
      <c r="N476" s="402"/>
      <c r="O476" s="930" t="s">
        <v>115</v>
      </c>
      <c r="P476" s="402"/>
      <c r="Q476" s="402" t="s">
        <v>17</v>
      </c>
      <c r="R476" s="402"/>
      <c r="S476" s="630"/>
      <c r="T476" s="402"/>
      <c r="U476" s="930" t="s">
        <v>115</v>
      </c>
      <c r="V476" s="402"/>
      <c r="W476" s="402" t="s">
        <v>17</v>
      </c>
      <c r="X476" s="402"/>
      <c r="Y476" s="630"/>
      <c r="Z476" s="402"/>
      <c r="AA476" s="930" t="s">
        <v>115</v>
      </c>
      <c r="AB476" s="402"/>
      <c r="AC476" s="402" t="s">
        <v>17</v>
      </c>
      <c r="AD476" s="402"/>
      <c r="AE476" s="630"/>
      <c r="AF476" s="402"/>
      <c r="AG476" s="930" t="s">
        <v>115</v>
      </c>
      <c r="AH476" s="402"/>
      <c r="AI476" s="402" t="s">
        <v>17</v>
      </c>
      <c r="AJ476" s="402"/>
      <c r="AK476" s="630"/>
      <c r="AL476" s="402"/>
      <c r="AM476" s="930" t="s">
        <v>115</v>
      </c>
      <c r="AN476" s="402"/>
      <c r="AO476" s="402" t="s">
        <v>17</v>
      </c>
      <c r="AP476" s="402"/>
      <c r="AQ476" s="634"/>
      <c r="AR476" s="606"/>
      <c r="AS476" s="394"/>
      <c r="AT476" s="393"/>
      <c r="AU476" s="395"/>
      <c r="AV476" s="278"/>
      <c r="AW476" s="278"/>
      <c r="AX476" s="278"/>
      <c r="AY476" s="278"/>
      <c r="AZ476" s="278"/>
      <c r="BA476" s="278"/>
      <c r="BB476" s="278"/>
      <c r="BC476" s="278"/>
      <c r="BD476" s="278"/>
    </row>
    <row r="477" spans="1:56">
      <c r="A477" s="933"/>
      <c r="B477" s="934"/>
      <c r="C477" s="934"/>
      <c r="D477" s="934"/>
      <c r="E477" s="934"/>
      <c r="F477" s="934"/>
      <c r="G477" s="934"/>
      <c r="H477" s="934"/>
      <c r="I477" s="930"/>
      <c r="J477" s="402"/>
      <c r="K477" s="402" t="s">
        <v>32</v>
      </c>
      <c r="L477" s="402"/>
      <c r="M477" s="630"/>
      <c r="N477" s="402"/>
      <c r="O477" s="930"/>
      <c r="P477" s="402"/>
      <c r="Q477" s="402" t="s">
        <v>32</v>
      </c>
      <c r="R477" s="402"/>
      <c r="S477" s="630"/>
      <c r="T477" s="402"/>
      <c r="U477" s="930"/>
      <c r="V477" s="402"/>
      <c r="W477" s="402" t="s">
        <v>32</v>
      </c>
      <c r="X477" s="402"/>
      <c r="Y477" s="630"/>
      <c r="Z477" s="402"/>
      <c r="AA477" s="930"/>
      <c r="AB477" s="402"/>
      <c r="AC477" s="402" t="s">
        <v>32</v>
      </c>
      <c r="AD477" s="402"/>
      <c r="AE477" s="630"/>
      <c r="AF477" s="402"/>
      <c r="AG477" s="930"/>
      <c r="AH477" s="402"/>
      <c r="AI477" s="402" t="s">
        <v>32</v>
      </c>
      <c r="AJ477" s="402"/>
      <c r="AK477" s="630"/>
      <c r="AL477" s="402"/>
      <c r="AM477" s="930"/>
      <c r="AN477" s="402"/>
      <c r="AO477" s="402" t="s">
        <v>32</v>
      </c>
      <c r="AP477" s="402"/>
      <c r="AQ477" s="634"/>
      <c r="AR477" s="606"/>
      <c r="AS477" s="394"/>
      <c r="AT477" s="393"/>
      <c r="AU477" s="395"/>
      <c r="AV477" s="278"/>
      <c r="AW477" s="278"/>
      <c r="AX477" s="278"/>
      <c r="AY477" s="278"/>
      <c r="AZ477" s="278"/>
      <c r="BA477" s="278"/>
      <c r="BB477" s="278"/>
      <c r="BC477" s="278"/>
      <c r="BD477" s="278"/>
    </row>
    <row r="478" spans="1:56">
      <c r="A478" s="933"/>
      <c r="B478" s="934"/>
      <c r="C478" s="934"/>
      <c r="D478" s="934"/>
      <c r="E478" s="934"/>
      <c r="F478" s="934"/>
      <c r="G478" s="934"/>
      <c r="H478" s="934"/>
      <c r="I478" s="930" t="s">
        <v>116</v>
      </c>
      <c r="J478" s="402"/>
      <c r="K478" s="402" t="s">
        <v>17</v>
      </c>
      <c r="L478" s="402"/>
      <c r="M478" s="630"/>
      <c r="N478" s="402"/>
      <c r="O478" s="930" t="s">
        <v>116</v>
      </c>
      <c r="P478" s="402"/>
      <c r="Q478" s="402" t="s">
        <v>17</v>
      </c>
      <c r="R478" s="402"/>
      <c r="S478" s="630"/>
      <c r="T478" s="402"/>
      <c r="U478" s="930" t="s">
        <v>116</v>
      </c>
      <c r="V478" s="402"/>
      <c r="W478" s="402" t="s">
        <v>17</v>
      </c>
      <c r="X478" s="402"/>
      <c r="Y478" s="630"/>
      <c r="Z478" s="402"/>
      <c r="AA478" s="930" t="s">
        <v>116</v>
      </c>
      <c r="AB478" s="402"/>
      <c r="AC478" s="402" t="s">
        <v>17</v>
      </c>
      <c r="AD478" s="402"/>
      <c r="AE478" s="630"/>
      <c r="AF478" s="402"/>
      <c r="AG478" s="930" t="s">
        <v>116</v>
      </c>
      <c r="AH478" s="402"/>
      <c r="AI478" s="402" t="s">
        <v>17</v>
      </c>
      <c r="AJ478" s="402"/>
      <c r="AK478" s="630"/>
      <c r="AL478" s="402"/>
      <c r="AM478" s="930" t="s">
        <v>116</v>
      </c>
      <c r="AN478" s="402"/>
      <c r="AO478" s="402" t="s">
        <v>17</v>
      </c>
      <c r="AP478" s="402"/>
      <c r="AQ478" s="634"/>
      <c r="AR478" s="606"/>
      <c r="AS478" s="394"/>
      <c r="AT478" s="393"/>
      <c r="AU478" s="395"/>
      <c r="AV478" s="278"/>
      <c r="AW478" s="278"/>
      <c r="AX478" s="278"/>
      <c r="AY478" s="278"/>
      <c r="AZ478" s="278"/>
      <c r="BA478" s="278"/>
      <c r="BB478" s="278"/>
      <c r="BC478" s="278"/>
      <c r="BD478" s="278"/>
    </row>
    <row r="479" spans="1:56">
      <c r="A479" s="933"/>
      <c r="B479" s="934"/>
      <c r="C479" s="934"/>
      <c r="D479" s="934"/>
      <c r="E479" s="934"/>
      <c r="F479" s="934"/>
      <c r="G479" s="934"/>
      <c r="H479" s="934"/>
      <c r="I479" s="930"/>
      <c r="J479" s="402"/>
      <c r="K479" s="402" t="s">
        <v>32</v>
      </c>
      <c r="L479" s="402"/>
      <c r="M479" s="630"/>
      <c r="N479" s="402"/>
      <c r="O479" s="930"/>
      <c r="P479" s="402"/>
      <c r="Q479" s="402" t="s">
        <v>32</v>
      </c>
      <c r="R479" s="402"/>
      <c r="S479" s="630"/>
      <c r="T479" s="402"/>
      <c r="U479" s="930"/>
      <c r="V479" s="402"/>
      <c r="W479" s="402" t="s">
        <v>32</v>
      </c>
      <c r="X479" s="402"/>
      <c r="Y479" s="630"/>
      <c r="Z479" s="402"/>
      <c r="AA479" s="930"/>
      <c r="AB479" s="402"/>
      <c r="AC479" s="402" t="s">
        <v>32</v>
      </c>
      <c r="AD479" s="402"/>
      <c r="AE479" s="630"/>
      <c r="AF479" s="402"/>
      <c r="AG479" s="930"/>
      <c r="AH479" s="402"/>
      <c r="AI479" s="402" t="s">
        <v>32</v>
      </c>
      <c r="AJ479" s="402"/>
      <c r="AK479" s="630"/>
      <c r="AL479" s="402"/>
      <c r="AM479" s="930"/>
      <c r="AN479" s="402"/>
      <c r="AO479" s="402" t="s">
        <v>32</v>
      </c>
      <c r="AP479" s="402"/>
      <c r="AQ479" s="634"/>
      <c r="AR479" s="606"/>
      <c r="AS479" s="394"/>
      <c r="AT479" s="393"/>
      <c r="AU479" s="395"/>
      <c r="AV479" s="278"/>
      <c r="AW479" s="278"/>
      <c r="AX479" s="278"/>
      <c r="AY479" s="278"/>
      <c r="AZ479" s="278"/>
      <c r="BA479" s="278"/>
      <c r="BB479" s="278"/>
      <c r="BC479" s="278"/>
      <c r="BD479" s="278"/>
    </row>
    <row r="480" spans="1:56">
      <c r="A480" s="933"/>
      <c r="B480" s="934"/>
      <c r="C480" s="934"/>
      <c r="D480" s="934"/>
      <c r="E480" s="934"/>
      <c r="F480" s="934"/>
      <c r="G480" s="934"/>
      <c r="H480" s="934"/>
      <c r="I480" s="930" t="s">
        <v>117</v>
      </c>
      <c r="J480" s="402"/>
      <c r="K480" s="402" t="s">
        <v>17</v>
      </c>
      <c r="L480" s="402"/>
      <c r="M480" s="630"/>
      <c r="N480" s="402"/>
      <c r="O480" s="930" t="s">
        <v>117</v>
      </c>
      <c r="P480" s="402"/>
      <c r="Q480" s="402" t="s">
        <v>17</v>
      </c>
      <c r="R480" s="402"/>
      <c r="S480" s="630"/>
      <c r="T480" s="402"/>
      <c r="U480" s="930" t="s">
        <v>117</v>
      </c>
      <c r="V480" s="402"/>
      <c r="W480" s="402" t="s">
        <v>17</v>
      </c>
      <c r="X480" s="402"/>
      <c r="Y480" s="630"/>
      <c r="Z480" s="402"/>
      <c r="AA480" s="930" t="s">
        <v>117</v>
      </c>
      <c r="AB480" s="402"/>
      <c r="AC480" s="402" t="s">
        <v>17</v>
      </c>
      <c r="AD480" s="402"/>
      <c r="AE480" s="630"/>
      <c r="AF480" s="402"/>
      <c r="AG480" s="930" t="s">
        <v>117</v>
      </c>
      <c r="AH480" s="402"/>
      <c r="AI480" s="402" t="s">
        <v>17</v>
      </c>
      <c r="AJ480" s="402"/>
      <c r="AK480" s="630"/>
      <c r="AL480" s="402"/>
      <c r="AM480" s="930" t="s">
        <v>117</v>
      </c>
      <c r="AN480" s="402"/>
      <c r="AO480" s="402" t="s">
        <v>17</v>
      </c>
      <c r="AP480" s="402"/>
      <c r="AQ480" s="634"/>
      <c r="AR480" s="606"/>
      <c r="AS480" s="394"/>
      <c r="AT480" s="393"/>
      <c r="AU480" s="395"/>
      <c r="AV480" s="278"/>
      <c r="AW480" s="278"/>
      <c r="AX480" s="278"/>
      <c r="AY480" s="278"/>
      <c r="AZ480" s="278"/>
      <c r="BA480" s="278"/>
      <c r="BB480" s="278"/>
      <c r="BC480" s="278"/>
      <c r="BD480" s="278"/>
    </row>
    <row r="481" spans="1:56">
      <c r="A481" s="933"/>
      <c r="B481" s="934"/>
      <c r="C481" s="934"/>
      <c r="D481" s="934"/>
      <c r="E481" s="934"/>
      <c r="F481" s="934"/>
      <c r="G481" s="934"/>
      <c r="H481" s="934"/>
      <c r="I481" s="930"/>
      <c r="J481" s="402"/>
      <c r="K481" s="402" t="s">
        <v>32</v>
      </c>
      <c r="L481" s="402"/>
      <c r="M481" s="630"/>
      <c r="N481" s="402"/>
      <c r="O481" s="930"/>
      <c r="P481" s="402"/>
      <c r="Q481" s="402" t="s">
        <v>32</v>
      </c>
      <c r="R481" s="402"/>
      <c r="S481" s="630"/>
      <c r="T481" s="402"/>
      <c r="U481" s="930"/>
      <c r="V481" s="402"/>
      <c r="W481" s="402" t="s">
        <v>32</v>
      </c>
      <c r="X481" s="402"/>
      <c r="Y481" s="630"/>
      <c r="Z481" s="402"/>
      <c r="AA481" s="930"/>
      <c r="AB481" s="402"/>
      <c r="AC481" s="402" t="s">
        <v>32</v>
      </c>
      <c r="AD481" s="402"/>
      <c r="AE481" s="630"/>
      <c r="AF481" s="402"/>
      <c r="AG481" s="930"/>
      <c r="AH481" s="402"/>
      <c r="AI481" s="402" t="s">
        <v>32</v>
      </c>
      <c r="AJ481" s="402"/>
      <c r="AK481" s="630"/>
      <c r="AL481" s="402"/>
      <c r="AM481" s="930"/>
      <c r="AN481" s="402"/>
      <c r="AO481" s="402" t="s">
        <v>32</v>
      </c>
      <c r="AP481" s="402"/>
      <c r="AQ481" s="634"/>
      <c r="AR481" s="606"/>
      <c r="AS481" s="394"/>
      <c r="AT481" s="393"/>
      <c r="AU481" s="395"/>
      <c r="AV481" s="278"/>
      <c r="AW481" s="278"/>
      <c r="AX481" s="278"/>
      <c r="AY481" s="278"/>
      <c r="AZ481" s="278"/>
      <c r="BA481" s="278"/>
      <c r="BB481" s="278"/>
      <c r="BC481" s="278"/>
      <c r="BD481" s="278"/>
    </row>
    <row r="482" spans="1:56">
      <c r="A482" s="933"/>
      <c r="B482" s="934"/>
      <c r="C482" s="934"/>
      <c r="D482" s="934"/>
      <c r="E482" s="934"/>
      <c r="F482" s="934"/>
      <c r="G482" s="934"/>
      <c r="H482" s="934"/>
      <c r="I482" s="951" t="s">
        <v>462</v>
      </c>
      <c r="J482" s="402"/>
      <c r="K482" s="402" t="s">
        <v>32</v>
      </c>
      <c r="L482" s="951"/>
      <c r="M482" s="630"/>
      <c r="N482" s="402"/>
      <c r="O482" s="951" t="s">
        <v>462</v>
      </c>
      <c r="P482" s="402"/>
      <c r="Q482" s="402" t="s">
        <v>32</v>
      </c>
      <c r="R482" s="951"/>
      <c r="S482" s="630"/>
      <c r="T482" s="402"/>
      <c r="U482" s="951" t="s">
        <v>462</v>
      </c>
      <c r="V482" s="402"/>
      <c r="W482" s="402" t="s">
        <v>32</v>
      </c>
      <c r="X482" s="951"/>
      <c r="Y482" s="630"/>
      <c r="Z482" s="402"/>
      <c r="AA482" s="951" t="s">
        <v>462</v>
      </c>
      <c r="AB482" s="402"/>
      <c r="AC482" s="402" t="s">
        <v>32</v>
      </c>
      <c r="AD482" s="951"/>
      <c r="AE482" s="630"/>
      <c r="AF482" s="402"/>
      <c r="AG482" s="951" t="s">
        <v>462</v>
      </c>
      <c r="AH482" s="402"/>
      <c r="AI482" s="402" t="s">
        <v>32</v>
      </c>
      <c r="AJ482" s="951"/>
      <c r="AK482" s="630"/>
      <c r="AL482" s="402"/>
      <c r="AM482" s="951" t="s">
        <v>462</v>
      </c>
      <c r="AN482" s="402"/>
      <c r="AO482" s="402" t="s">
        <v>32</v>
      </c>
      <c r="AP482" s="402"/>
      <c r="AQ482" s="634"/>
      <c r="AR482" s="606"/>
      <c r="AS482" s="394"/>
      <c r="AT482" s="393"/>
      <c r="AU482" s="395"/>
      <c r="AV482" s="278"/>
      <c r="AW482" s="278"/>
      <c r="AX482" s="278"/>
      <c r="AY482" s="278"/>
      <c r="AZ482" s="278"/>
      <c r="BA482" s="278"/>
      <c r="BB482" s="278"/>
      <c r="BC482" s="278"/>
      <c r="BD482" s="278"/>
    </row>
    <row r="483" spans="1:56">
      <c r="A483" s="933"/>
      <c r="B483" s="934"/>
      <c r="C483" s="934"/>
      <c r="D483" s="934"/>
      <c r="E483" s="934"/>
      <c r="F483" s="934"/>
      <c r="G483" s="934"/>
      <c r="H483" s="934"/>
      <c r="I483" s="951"/>
      <c r="J483" s="402"/>
      <c r="K483" s="402" t="s">
        <v>17</v>
      </c>
      <c r="L483" s="951"/>
      <c r="M483" s="630"/>
      <c r="N483" s="402"/>
      <c r="O483" s="951"/>
      <c r="P483" s="402"/>
      <c r="Q483" s="402" t="s">
        <v>17</v>
      </c>
      <c r="R483" s="951"/>
      <c r="S483" s="630"/>
      <c r="T483" s="402"/>
      <c r="U483" s="951"/>
      <c r="V483" s="402"/>
      <c r="W483" s="402" t="s">
        <v>17</v>
      </c>
      <c r="X483" s="951"/>
      <c r="Y483" s="630"/>
      <c r="Z483" s="402"/>
      <c r="AA483" s="951"/>
      <c r="AB483" s="402"/>
      <c r="AC483" s="402" t="s">
        <v>17</v>
      </c>
      <c r="AD483" s="951"/>
      <c r="AE483" s="630"/>
      <c r="AF483" s="402"/>
      <c r="AG483" s="951"/>
      <c r="AH483" s="402"/>
      <c r="AI483" s="402" t="s">
        <v>17</v>
      </c>
      <c r="AJ483" s="951"/>
      <c r="AK483" s="630"/>
      <c r="AL483" s="402"/>
      <c r="AM483" s="951"/>
      <c r="AN483" s="402"/>
      <c r="AO483" s="402" t="s">
        <v>17</v>
      </c>
      <c r="AP483" s="402"/>
      <c r="AQ483" s="634"/>
      <c r="AR483" s="606"/>
      <c r="AS483" s="394"/>
      <c r="AT483" s="393"/>
      <c r="AU483" s="395"/>
      <c r="AV483" s="278"/>
      <c r="AW483" s="278"/>
      <c r="AX483" s="278"/>
      <c r="AY483" s="278"/>
      <c r="AZ483" s="278"/>
      <c r="BA483" s="278"/>
      <c r="BB483" s="278"/>
      <c r="BC483" s="278"/>
      <c r="BD483" s="278"/>
    </row>
    <row r="484" spans="1:56" ht="42.75">
      <c r="A484" s="933"/>
      <c r="B484" s="934"/>
      <c r="C484" s="934"/>
      <c r="D484" s="934"/>
      <c r="E484" s="934"/>
      <c r="F484" s="934"/>
      <c r="G484" s="934"/>
      <c r="H484" s="934"/>
      <c r="I484" s="403" t="s">
        <v>120</v>
      </c>
      <c r="J484" s="402"/>
      <c r="K484" s="402" t="s">
        <v>118</v>
      </c>
      <c r="L484" s="402"/>
      <c r="M484" s="630"/>
      <c r="N484" s="402"/>
      <c r="O484" s="403" t="s">
        <v>120</v>
      </c>
      <c r="P484" s="402"/>
      <c r="Q484" s="402" t="s">
        <v>118</v>
      </c>
      <c r="R484" s="402"/>
      <c r="S484" s="630"/>
      <c r="T484" s="402"/>
      <c r="U484" s="403" t="s">
        <v>120</v>
      </c>
      <c r="V484" s="402"/>
      <c r="W484" s="402" t="s">
        <v>118</v>
      </c>
      <c r="X484" s="402"/>
      <c r="Y484" s="630"/>
      <c r="Z484" s="402"/>
      <c r="AA484" s="403" t="s">
        <v>120</v>
      </c>
      <c r="AB484" s="402"/>
      <c r="AC484" s="402" t="s">
        <v>118</v>
      </c>
      <c r="AD484" s="402"/>
      <c r="AE484" s="630"/>
      <c r="AF484" s="402"/>
      <c r="AG484" s="403" t="s">
        <v>120</v>
      </c>
      <c r="AH484" s="402"/>
      <c r="AI484" s="402" t="s">
        <v>118</v>
      </c>
      <c r="AJ484" s="402"/>
      <c r="AK484" s="630"/>
      <c r="AL484" s="402"/>
      <c r="AM484" s="403" t="s">
        <v>120</v>
      </c>
      <c r="AN484" s="402"/>
      <c r="AO484" s="402" t="s">
        <v>118</v>
      </c>
      <c r="AP484" s="402"/>
      <c r="AQ484" s="634"/>
      <c r="AR484" s="606"/>
      <c r="AS484" s="394"/>
      <c r="AT484" s="393"/>
      <c r="AU484" s="395"/>
      <c r="AV484" s="278"/>
      <c r="AW484" s="278"/>
      <c r="AX484" s="278"/>
      <c r="AY484" s="278"/>
      <c r="AZ484" s="278"/>
      <c r="BA484" s="278"/>
      <c r="BB484" s="278"/>
      <c r="BC484" s="278"/>
      <c r="BD484" s="278"/>
    </row>
    <row r="485" spans="1:56" ht="28.5">
      <c r="A485" s="933"/>
      <c r="B485" s="934"/>
      <c r="C485" s="934"/>
      <c r="D485" s="934"/>
      <c r="E485" s="934"/>
      <c r="F485" s="934"/>
      <c r="G485" s="934"/>
      <c r="H485" s="934"/>
      <c r="I485" s="403" t="s">
        <v>93</v>
      </c>
      <c r="J485" s="402"/>
      <c r="K485" s="402" t="s">
        <v>118</v>
      </c>
      <c r="L485" s="402"/>
      <c r="M485" s="630"/>
      <c r="N485" s="402"/>
      <c r="O485" s="403" t="s">
        <v>93</v>
      </c>
      <c r="P485" s="402"/>
      <c r="Q485" s="402" t="s">
        <v>118</v>
      </c>
      <c r="R485" s="402"/>
      <c r="S485" s="630"/>
      <c r="T485" s="402"/>
      <c r="U485" s="403" t="s">
        <v>93</v>
      </c>
      <c r="V485" s="402"/>
      <c r="W485" s="402" t="s">
        <v>118</v>
      </c>
      <c r="X485" s="402"/>
      <c r="Y485" s="630"/>
      <c r="Z485" s="402"/>
      <c r="AA485" s="403" t="s">
        <v>93</v>
      </c>
      <c r="AB485" s="402"/>
      <c r="AC485" s="402" t="s">
        <v>118</v>
      </c>
      <c r="AD485" s="402"/>
      <c r="AE485" s="630"/>
      <c r="AF485" s="402"/>
      <c r="AG485" s="403" t="s">
        <v>93</v>
      </c>
      <c r="AH485" s="402"/>
      <c r="AI485" s="402" t="s">
        <v>118</v>
      </c>
      <c r="AJ485" s="402"/>
      <c r="AK485" s="630"/>
      <c r="AL485" s="402"/>
      <c r="AM485" s="403" t="s">
        <v>93</v>
      </c>
      <c r="AN485" s="402"/>
      <c r="AO485" s="402" t="s">
        <v>118</v>
      </c>
      <c r="AP485" s="402"/>
      <c r="AQ485" s="634"/>
      <c r="AR485" s="606"/>
      <c r="AS485" s="394"/>
      <c r="AT485" s="393"/>
      <c r="AU485" s="395"/>
      <c r="AV485" s="278"/>
      <c r="AW485" s="278"/>
      <c r="AX485" s="278"/>
      <c r="AY485" s="278"/>
      <c r="AZ485" s="278"/>
      <c r="BA485" s="278"/>
      <c r="BB485" s="278"/>
      <c r="BC485" s="278"/>
      <c r="BD485" s="278"/>
    </row>
    <row r="486" spans="1:56" ht="42.75">
      <c r="A486" s="933"/>
      <c r="B486" s="934"/>
      <c r="C486" s="934"/>
      <c r="D486" s="934"/>
      <c r="E486" s="934"/>
      <c r="F486" s="934"/>
      <c r="G486" s="934"/>
      <c r="H486" s="934"/>
      <c r="I486" s="403" t="s">
        <v>463</v>
      </c>
      <c r="J486" s="402"/>
      <c r="K486" s="402" t="s">
        <v>2681</v>
      </c>
      <c r="L486" s="402"/>
      <c r="M486" s="630"/>
      <c r="N486" s="402"/>
      <c r="O486" s="403" t="s">
        <v>463</v>
      </c>
      <c r="P486" s="402"/>
      <c r="Q486" s="402" t="s">
        <v>2681</v>
      </c>
      <c r="R486" s="402"/>
      <c r="S486" s="630"/>
      <c r="T486" s="402"/>
      <c r="U486" s="403" t="s">
        <v>463</v>
      </c>
      <c r="V486" s="402"/>
      <c r="W486" s="402" t="s">
        <v>2681</v>
      </c>
      <c r="X486" s="402"/>
      <c r="Y486" s="630"/>
      <c r="Z486" s="402"/>
      <c r="AA486" s="403" t="s">
        <v>463</v>
      </c>
      <c r="AB486" s="402"/>
      <c r="AC486" s="402" t="s">
        <v>2681</v>
      </c>
      <c r="AD486" s="402"/>
      <c r="AE486" s="630"/>
      <c r="AF486" s="402"/>
      <c r="AG486" s="403" t="s">
        <v>463</v>
      </c>
      <c r="AH486" s="402"/>
      <c r="AI486" s="402" t="s">
        <v>2681</v>
      </c>
      <c r="AJ486" s="402"/>
      <c r="AK486" s="630"/>
      <c r="AL486" s="402"/>
      <c r="AM486" s="403" t="s">
        <v>463</v>
      </c>
      <c r="AN486" s="402"/>
      <c r="AO486" s="402" t="s">
        <v>2681</v>
      </c>
      <c r="AP486" s="402"/>
      <c r="AQ486" s="634"/>
      <c r="AR486" s="606"/>
      <c r="AS486" s="394"/>
      <c r="AT486" s="393"/>
      <c r="AU486" s="395"/>
      <c r="AV486" s="278"/>
      <c r="AW486" s="278"/>
      <c r="AX486" s="278"/>
      <c r="AY486" s="278"/>
      <c r="AZ486" s="278"/>
      <c r="BA486" s="278"/>
      <c r="BB486" s="278"/>
      <c r="BC486" s="278"/>
      <c r="BD486" s="278"/>
    </row>
    <row r="487" spans="1:56">
      <c r="A487" s="933"/>
      <c r="B487" s="934"/>
      <c r="C487" s="934"/>
      <c r="D487" s="934"/>
      <c r="E487" s="934"/>
      <c r="F487" s="934"/>
      <c r="G487" s="934"/>
      <c r="H487" s="934"/>
      <c r="I487" s="403" t="s">
        <v>464</v>
      </c>
      <c r="J487" s="402"/>
      <c r="K487" s="402" t="s">
        <v>32</v>
      </c>
      <c r="L487" s="402"/>
      <c r="M487" s="630"/>
      <c r="N487" s="402"/>
      <c r="O487" s="403" t="s">
        <v>464</v>
      </c>
      <c r="P487" s="402"/>
      <c r="Q487" s="402" t="s">
        <v>32</v>
      </c>
      <c r="R487" s="402"/>
      <c r="S487" s="630"/>
      <c r="T487" s="402"/>
      <c r="U487" s="403" t="s">
        <v>464</v>
      </c>
      <c r="V487" s="402"/>
      <c r="W487" s="402" t="s">
        <v>32</v>
      </c>
      <c r="X487" s="402"/>
      <c r="Y487" s="630"/>
      <c r="Z487" s="402"/>
      <c r="AA487" s="403" t="s">
        <v>464</v>
      </c>
      <c r="AB487" s="402"/>
      <c r="AC487" s="402" t="s">
        <v>32</v>
      </c>
      <c r="AD487" s="402"/>
      <c r="AE487" s="630"/>
      <c r="AF487" s="402"/>
      <c r="AG487" s="403" t="s">
        <v>464</v>
      </c>
      <c r="AH487" s="402"/>
      <c r="AI487" s="402" t="s">
        <v>32</v>
      </c>
      <c r="AJ487" s="402"/>
      <c r="AK487" s="630"/>
      <c r="AL487" s="402"/>
      <c r="AM487" s="403" t="s">
        <v>464</v>
      </c>
      <c r="AN487" s="402"/>
      <c r="AO487" s="402" t="s">
        <v>32</v>
      </c>
      <c r="AP487" s="402"/>
      <c r="AQ487" s="634"/>
      <c r="AR487" s="606"/>
      <c r="AS487" s="394"/>
      <c r="AT487" s="393"/>
      <c r="AU487" s="395"/>
      <c r="AV487" s="278"/>
      <c r="AW487" s="278"/>
      <c r="AX487" s="278"/>
      <c r="AY487" s="278"/>
      <c r="AZ487" s="278"/>
      <c r="BA487" s="278"/>
      <c r="BB487" s="278"/>
      <c r="BC487" s="278"/>
      <c r="BD487" s="278"/>
    </row>
    <row r="488" spans="1:56" ht="28.5">
      <c r="A488" s="933"/>
      <c r="B488" s="934"/>
      <c r="C488" s="934"/>
      <c r="D488" s="934"/>
      <c r="E488" s="934"/>
      <c r="F488" s="934"/>
      <c r="G488" s="934"/>
      <c r="H488" s="934"/>
      <c r="I488" s="403" t="s">
        <v>68</v>
      </c>
      <c r="J488" s="402"/>
      <c r="K488" s="402" t="s">
        <v>2681</v>
      </c>
      <c r="L488" s="402"/>
      <c r="M488" s="630"/>
      <c r="N488" s="402"/>
      <c r="O488" s="403" t="s">
        <v>68</v>
      </c>
      <c r="P488" s="402"/>
      <c r="Q488" s="402" t="s">
        <v>2681</v>
      </c>
      <c r="R488" s="402"/>
      <c r="S488" s="630"/>
      <c r="T488" s="402"/>
      <c r="U488" s="403" t="s">
        <v>68</v>
      </c>
      <c r="V488" s="402"/>
      <c r="W488" s="402" t="s">
        <v>2681</v>
      </c>
      <c r="X488" s="402"/>
      <c r="Y488" s="630"/>
      <c r="Z488" s="402"/>
      <c r="AA488" s="403" t="s">
        <v>68</v>
      </c>
      <c r="AB488" s="402"/>
      <c r="AC488" s="402" t="s">
        <v>2681</v>
      </c>
      <c r="AD488" s="402"/>
      <c r="AE488" s="630"/>
      <c r="AF488" s="402"/>
      <c r="AG488" s="403" t="s">
        <v>68</v>
      </c>
      <c r="AH488" s="402"/>
      <c r="AI488" s="402" t="s">
        <v>2681</v>
      </c>
      <c r="AJ488" s="402"/>
      <c r="AK488" s="630"/>
      <c r="AL488" s="402"/>
      <c r="AM488" s="403" t="s">
        <v>68</v>
      </c>
      <c r="AN488" s="402"/>
      <c r="AO488" s="402" t="s">
        <v>2681</v>
      </c>
      <c r="AP488" s="402"/>
      <c r="AQ488" s="634"/>
      <c r="AR488" s="606"/>
      <c r="AS488" s="394"/>
      <c r="AT488" s="393"/>
      <c r="AU488" s="395"/>
      <c r="AV488" s="278"/>
      <c r="AW488" s="278"/>
      <c r="AX488" s="278"/>
      <c r="AY488" s="278"/>
      <c r="AZ488" s="278"/>
      <c r="BA488" s="278"/>
      <c r="BB488" s="278"/>
      <c r="BC488" s="278"/>
      <c r="BD488" s="278"/>
    </row>
    <row r="489" spans="1:56" ht="42.75">
      <c r="A489" s="933"/>
      <c r="B489" s="934"/>
      <c r="C489" s="934"/>
      <c r="D489" s="934"/>
      <c r="E489" s="934"/>
      <c r="F489" s="934"/>
      <c r="G489" s="934"/>
      <c r="H489" s="934"/>
      <c r="I489" s="403" t="s">
        <v>465</v>
      </c>
      <c r="J489" s="402"/>
      <c r="K489" s="402" t="s">
        <v>2681</v>
      </c>
      <c r="L489" s="403"/>
      <c r="M489" s="630"/>
      <c r="N489" s="402"/>
      <c r="O489" s="403" t="s">
        <v>465</v>
      </c>
      <c r="P489" s="402"/>
      <c r="Q489" s="402" t="s">
        <v>2681</v>
      </c>
      <c r="R489" s="403"/>
      <c r="S489" s="630"/>
      <c r="T489" s="402"/>
      <c r="U489" s="403" t="s">
        <v>465</v>
      </c>
      <c r="V489" s="402"/>
      <c r="W489" s="402" t="s">
        <v>2681</v>
      </c>
      <c r="X489" s="403"/>
      <c r="Y489" s="630"/>
      <c r="Z489" s="402"/>
      <c r="AA489" s="403" t="s">
        <v>465</v>
      </c>
      <c r="AB489" s="402"/>
      <c r="AC489" s="402" t="s">
        <v>2681</v>
      </c>
      <c r="AD489" s="403"/>
      <c r="AE489" s="630"/>
      <c r="AF489" s="402"/>
      <c r="AG489" s="403" t="s">
        <v>465</v>
      </c>
      <c r="AH489" s="402"/>
      <c r="AI489" s="402" t="s">
        <v>2681</v>
      </c>
      <c r="AJ489" s="403"/>
      <c r="AK489" s="630"/>
      <c r="AL489" s="402"/>
      <c r="AM489" s="403" t="s">
        <v>465</v>
      </c>
      <c r="AN489" s="402"/>
      <c r="AO489" s="402" t="s">
        <v>2681</v>
      </c>
      <c r="AP489" s="403"/>
      <c r="AQ489" s="634"/>
      <c r="AR489" s="606"/>
      <c r="AS489" s="394"/>
      <c r="AT489" s="393"/>
      <c r="AU489" s="395"/>
      <c r="AV489" s="278"/>
      <c r="AW489" s="278"/>
      <c r="AX489" s="278"/>
      <c r="AY489" s="278"/>
      <c r="AZ489" s="278"/>
      <c r="BA489" s="278"/>
      <c r="BB489" s="278"/>
      <c r="BC489" s="278"/>
      <c r="BD489" s="278"/>
    </row>
    <row r="490" spans="1:56" ht="28.5">
      <c r="A490" s="933"/>
      <c r="B490" s="934"/>
      <c r="C490" s="934"/>
      <c r="D490" s="934"/>
      <c r="E490" s="934"/>
      <c r="F490" s="934"/>
      <c r="G490" s="934"/>
      <c r="H490" s="934"/>
      <c r="I490" s="403" t="s">
        <v>112</v>
      </c>
      <c r="J490" s="402"/>
      <c r="K490" s="402" t="s">
        <v>32</v>
      </c>
      <c r="L490" s="403"/>
      <c r="M490" s="630"/>
      <c r="N490" s="402"/>
      <c r="O490" s="403" t="s">
        <v>112</v>
      </c>
      <c r="P490" s="402"/>
      <c r="Q490" s="402" t="s">
        <v>32</v>
      </c>
      <c r="R490" s="403"/>
      <c r="S490" s="630"/>
      <c r="T490" s="402"/>
      <c r="U490" s="403" t="s">
        <v>112</v>
      </c>
      <c r="V490" s="402"/>
      <c r="W490" s="402" t="s">
        <v>32</v>
      </c>
      <c r="X490" s="403"/>
      <c r="Y490" s="630"/>
      <c r="Z490" s="402"/>
      <c r="AA490" s="403" t="s">
        <v>112</v>
      </c>
      <c r="AB490" s="402"/>
      <c r="AC490" s="402" t="s">
        <v>32</v>
      </c>
      <c r="AD490" s="403"/>
      <c r="AE490" s="630"/>
      <c r="AF490" s="402"/>
      <c r="AG490" s="403" t="s">
        <v>112</v>
      </c>
      <c r="AH490" s="402"/>
      <c r="AI490" s="402" t="s">
        <v>32</v>
      </c>
      <c r="AJ490" s="403"/>
      <c r="AK490" s="630"/>
      <c r="AL490" s="402"/>
      <c r="AM490" s="403" t="s">
        <v>112</v>
      </c>
      <c r="AN490" s="402"/>
      <c r="AO490" s="402" t="s">
        <v>32</v>
      </c>
      <c r="AP490" s="403"/>
      <c r="AQ490" s="634"/>
      <c r="AR490" s="606"/>
      <c r="AS490" s="394"/>
      <c r="AT490" s="393"/>
      <c r="AU490" s="395"/>
      <c r="AV490" s="278"/>
      <c r="AW490" s="278"/>
      <c r="AX490" s="278"/>
      <c r="AY490" s="278"/>
      <c r="AZ490" s="278"/>
      <c r="BA490" s="278"/>
      <c r="BB490" s="278"/>
      <c r="BC490" s="278"/>
      <c r="BD490" s="278"/>
    </row>
    <row r="491" spans="1:56" ht="42.75">
      <c r="A491" s="933"/>
      <c r="B491" s="934"/>
      <c r="C491" s="934"/>
      <c r="D491" s="934"/>
      <c r="E491" s="934"/>
      <c r="F491" s="934"/>
      <c r="G491" s="934"/>
      <c r="H491" s="934"/>
      <c r="I491" s="403" t="s">
        <v>466</v>
      </c>
      <c r="J491" s="402"/>
      <c r="K491" s="402" t="s">
        <v>32</v>
      </c>
      <c r="L491" s="403"/>
      <c r="M491" s="630"/>
      <c r="N491" s="402"/>
      <c r="O491" s="403" t="s">
        <v>466</v>
      </c>
      <c r="P491" s="402"/>
      <c r="Q491" s="402" t="s">
        <v>32</v>
      </c>
      <c r="R491" s="403"/>
      <c r="S491" s="630"/>
      <c r="T491" s="402"/>
      <c r="U491" s="403" t="s">
        <v>466</v>
      </c>
      <c r="V491" s="402"/>
      <c r="W491" s="402" t="s">
        <v>32</v>
      </c>
      <c r="X491" s="403"/>
      <c r="Y491" s="630"/>
      <c r="Z491" s="402"/>
      <c r="AA491" s="403" t="s">
        <v>466</v>
      </c>
      <c r="AB491" s="402"/>
      <c r="AC491" s="402" t="s">
        <v>32</v>
      </c>
      <c r="AD491" s="403"/>
      <c r="AE491" s="630"/>
      <c r="AF491" s="402"/>
      <c r="AG491" s="403" t="s">
        <v>466</v>
      </c>
      <c r="AH491" s="402"/>
      <c r="AI491" s="402" t="s">
        <v>32</v>
      </c>
      <c r="AJ491" s="403"/>
      <c r="AK491" s="630"/>
      <c r="AL491" s="402"/>
      <c r="AM491" s="403" t="s">
        <v>466</v>
      </c>
      <c r="AN491" s="402"/>
      <c r="AO491" s="402" t="s">
        <v>32</v>
      </c>
      <c r="AP491" s="403"/>
      <c r="AQ491" s="634"/>
      <c r="AR491" s="606"/>
      <c r="AS491" s="394"/>
      <c r="AT491" s="393"/>
      <c r="AU491" s="395"/>
      <c r="AV491" s="278"/>
      <c r="AW491" s="278"/>
      <c r="AX491" s="278"/>
      <c r="AY491" s="278"/>
      <c r="AZ491" s="278"/>
      <c r="BA491" s="278"/>
      <c r="BB491" s="278"/>
      <c r="BC491" s="278"/>
      <c r="BD491" s="278"/>
    </row>
    <row r="492" spans="1:56" ht="42.75">
      <c r="A492" s="933"/>
      <c r="B492" s="934"/>
      <c r="C492" s="934"/>
      <c r="D492" s="934"/>
      <c r="E492" s="934"/>
      <c r="F492" s="934"/>
      <c r="G492" s="934"/>
      <c r="H492" s="934"/>
      <c r="I492" s="403" t="s">
        <v>467</v>
      </c>
      <c r="J492" s="402"/>
      <c r="K492" s="402" t="s">
        <v>32</v>
      </c>
      <c r="L492" s="403"/>
      <c r="M492" s="630"/>
      <c r="N492" s="402"/>
      <c r="O492" s="403" t="s">
        <v>467</v>
      </c>
      <c r="P492" s="402"/>
      <c r="Q492" s="402" t="s">
        <v>32</v>
      </c>
      <c r="R492" s="403"/>
      <c r="S492" s="630"/>
      <c r="T492" s="402"/>
      <c r="U492" s="403" t="s">
        <v>467</v>
      </c>
      <c r="V492" s="402"/>
      <c r="W492" s="402" t="s">
        <v>32</v>
      </c>
      <c r="X492" s="403"/>
      <c r="Y492" s="630"/>
      <c r="Z492" s="402"/>
      <c r="AA492" s="403" t="s">
        <v>467</v>
      </c>
      <c r="AB492" s="402"/>
      <c r="AC492" s="402" t="s">
        <v>32</v>
      </c>
      <c r="AD492" s="403"/>
      <c r="AE492" s="630"/>
      <c r="AF492" s="402"/>
      <c r="AG492" s="403" t="s">
        <v>467</v>
      </c>
      <c r="AH492" s="402"/>
      <c r="AI492" s="402" t="s">
        <v>32</v>
      </c>
      <c r="AJ492" s="403"/>
      <c r="AK492" s="630"/>
      <c r="AL492" s="402"/>
      <c r="AM492" s="403" t="s">
        <v>467</v>
      </c>
      <c r="AN492" s="402"/>
      <c r="AO492" s="402" t="s">
        <v>32</v>
      </c>
      <c r="AP492" s="403"/>
      <c r="AQ492" s="634"/>
      <c r="AR492" s="606"/>
      <c r="AS492" s="394"/>
      <c r="AT492" s="393"/>
      <c r="AU492" s="395"/>
      <c r="AV492" s="278"/>
      <c r="AW492" s="278"/>
      <c r="AX492" s="278"/>
      <c r="AY492" s="278"/>
      <c r="AZ492" s="278"/>
      <c r="BA492" s="278"/>
      <c r="BB492" s="278"/>
      <c r="BC492" s="278"/>
      <c r="BD492" s="278"/>
    </row>
    <row r="493" spans="1:56" ht="42.75">
      <c r="A493" s="933"/>
      <c r="B493" s="934"/>
      <c r="C493" s="934"/>
      <c r="D493" s="934"/>
      <c r="E493" s="934"/>
      <c r="F493" s="934"/>
      <c r="G493" s="934"/>
      <c r="H493" s="934"/>
      <c r="I493" s="403" t="s">
        <v>468</v>
      </c>
      <c r="J493" s="402"/>
      <c r="K493" s="402" t="s">
        <v>118</v>
      </c>
      <c r="L493" s="403"/>
      <c r="M493" s="630"/>
      <c r="N493" s="402"/>
      <c r="O493" s="403" t="s">
        <v>468</v>
      </c>
      <c r="P493" s="402"/>
      <c r="Q493" s="402" t="s">
        <v>118</v>
      </c>
      <c r="R493" s="403"/>
      <c r="S493" s="630"/>
      <c r="T493" s="402"/>
      <c r="U493" s="403" t="s">
        <v>468</v>
      </c>
      <c r="V493" s="402"/>
      <c r="W493" s="402" t="s">
        <v>118</v>
      </c>
      <c r="X493" s="403"/>
      <c r="Y493" s="630"/>
      <c r="Z493" s="402"/>
      <c r="AA493" s="403" t="s">
        <v>468</v>
      </c>
      <c r="AB493" s="402"/>
      <c r="AC493" s="402" t="s">
        <v>118</v>
      </c>
      <c r="AD493" s="403"/>
      <c r="AE493" s="630"/>
      <c r="AF493" s="402"/>
      <c r="AG493" s="403" t="s">
        <v>468</v>
      </c>
      <c r="AH493" s="402"/>
      <c r="AI493" s="402" t="s">
        <v>118</v>
      </c>
      <c r="AJ493" s="403"/>
      <c r="AK493" s="630"/>
      <c r="AL493" s="402"/>
      <c r="AM493" s="403" t="s">
        <v>468</v>
      </c>
      <c r="AN493" s="402"/>
      <c r="AO493" s="402" t="s">
        <v>118</v>
      </c>
      <c r="AP493" s="403"/>
      <c r="AQ493" s="634"/>
      <c r="AR493" s="606"/>
      <c r="AS493" s="394"/>
      <c r="AT493" s="393"/>
      <c r="AU493" s="395"/>
      <c r="AV493" s="278"/>
      <c r="AW493" s="278"/>
      <c r="AX493" s="278"/>
      <c r="AY493" s="278"/>
      <c r="AZ493" s="278"/>
      <c r="BA493" s="278"/>
      <c r="BB493" s="278"/>
      <c r="BC493" s="278"/>
      <c r="BD493" s="278"/>
    </row>
    <row r="494" spans="1:56" ht="42.75">
      <c r="A494" s="933"/>
      <c r="B494" s="934"/>
      <c r="C494" s="934"/>
      <c r="D494" s="934"/>
      <c r="E494" s="934"/>
      <c r="F494" s="934"/>
      <c r="G494" s="934"/>
      <c r="H494" s="934"/>
      <c r="I494" s="403" t="s">
        <v>469</v>
      </c>
      <c r="J494" s="402"/>
      <c r="K494" s="402" t="s">
        <v>2681</v>
      </c>
      <c r="L494" s="403"/>
      <c r="M494" s="630"/>
      <c r="N494" s="402"/>
      <c r="O494" s="403" t="s">
        <v>469</v>
      </c>
      <c r="P494" s="402"/>
      <c r="Q494" s="402" t="s">
        <v>2681</v>
      </c>
      <c r="R494" s="403"/>
      <c r="S494" s="630"/>
      <c r="T494" s="402"/>
      <c r="U494" s="403" t="s">
        <v>469</v>
      </c>
      <c r="V494" s="402"/>
      <c r="W494" s="402" t="s">
        <v>2681</v>
      </c>
      <c r="X494" s="403"/>
      <c r="Y494" s="630"/>
      <c r="Z494" s="402"/>
      <c r="AA494" s="403" t="s">
        <v>469</v>
      </c>
      <c r="AB494" s="402"/>
      <c r="AC494" s="402" t="s">
        <v>2681</v>
      </c>
      <c r="AD494" s="403"/>
      <c r="AE494" s="630"/>
      <c r="AF494" s="402"/>
      <c r="AG494" s="403" t="s">
        <v>469</v>
      </c>
      <c r="AH494" s="402"/>
      <c r="AI494" s="402" t="s">
        <v>2681</v>
      </c>
      <c r="AJ494" s="403"/>
      <c r="AK494" s="630"/>
      <c r="AL494" s="402"/>
      <c r="AM494" s="403" t="s">
        <v>469</v>
      </c>
      <c r="AN494" s="402"/>
      <c r="AO494" s="402" t="s">
        <v>2681</v>
      </c>
      <c r="AP494" s="403"/>
      <c r="AQ494" s="634"/>
      <c r="AR494" s="606"/>
      <c r="AS494" s="394"/>
      <c r="AT494" s="393"/>
      <c r="AU494" s="395"/>
      <c r="AV494" s="278"/>
      <c r="AW494" s="278"/>
      <c r="AX494" s="278"/>
      <c r="AY494" s="278"/>
      <c r="AZ494" s="278"/>
      <c r="BA494" s="278"/>
      <c r="BB494" s="278"/>
      <c r="BC494" s="278"/>
      <c r="BD494" s="278"/>
    </row>
    <row r="495" spans="1:56" ht="71.25">
      <c r="A495" s="933"/>
      <c r="B495" s="934"/>
      <c r="C495" s="934"/>
      <c r="D495" s="934"/>
      <c r="E495" s="934"/>
      <c r="F495" s="934"/>
      <c r="G495" s="934"/>
      <c r="H495" s="934"/>
      <c r="I495" s="403" t="s">
        <v>470</v>
      </c>
      <c r="J495" s="402"/>
      <c r="K495" s="402" t="s">
        <v>118</v>
      </c>
      <c r="L495" s="403"/>
      <c r="M495" s="630"/>
      <c r="N495" s="402"/>
      <c r="O495" s="403" t="s">
        <v>470</v>
      </c>
      <c r="P495" s="402"/>
      <c r="Q495" s="402" t="s">
        <v>118</v>
      </c>
      <c r="R495" s="403"/>
      <c r="S495" s="630"/>
      <c r="T495" s="402"/>
      <c r="U495" s="403" t="s">
        <v>470</v>
      </c>
      <c r="V495" s="402"/>
      <c r="W495" s="402" t="s">
        <v>118</v>
      </c>
      <c r="X495" s="403"/>
      <c r="Y495" s="630"/>
      <c r="Z495" s="402"/>
      <c r="AA495" s="403" t="s">
        <v>470</v>
      </c>
      <c r="AB495" s="402"/>
      <c r="AC495" s="402" t="s">
        <v>118</v>
      </c>
      <c r="AD495" s="403"/>
      <c r="AE495" s="630"/>
      <c r="AF495" s="402"/>
      <c r="AG495" s="403" t="s">
        <v>470</v>
      </c>
      <c r="AH495" s="402"/>
      <c r="AI495" s="402" t="s">
        <v>118</v>
      </c>
      <c r="AJ495" s="403"/>
      <c r="AK495" s="630"/>
      <c r="AL495" s="402"/>
      <c r="AM495" s="403" t="s">
        <v>470</v>
      </c>
      <c r="AN495" s="402"/>
      <c r="AO495" s="402" t="s">
        <v>118</v>
      </c>
      <c r="AP495" s="403"/>
      <c r="AQ495" s="634"/>
      <c r="AR495" s="606"/>
      <c r="AS495" s="394"/>
      <c r="AT495" s="393"/>
      <c r="AU495" s="395"/>
      <c r="AV495" s="278"/>
      <c r="AW495" s="278"/>
      <c r="AX495" s="278"/>
      <c r="AY495" s="278"/>
      <c r="AZ495" s="278"/>
      <c r="BA495" s="278"/>
      <c r="BB495" s="278"/>
      <c r="BC495" s="278"/>
      <c r="BD495" s="278"/>
    </row>
    <row r="496" spans="1:56">
      <c r="A496" s="933"/>
      <c r="B496" s="934"/>
      <c r="C496" s="934"/>
      <c r="D496" s="934"/>
      <c r="E496" s="934"/>
      <c r="F496" s="934"/>
      <c r="G496" s="934"/>
      <c r="H496" s="934"/>
      <c r="I496" s="403" t="s">
        <v>471</v>
      </c>
      <c r="J496" s="402"/>
      <c r="K496" s="402"/>
      <c r="L496" s="403"/>
      <c r="M496" s="630"/>
      <c r="N496" s="402"/>
      <c r="O496" s="403" t="s">
        <v>471</v>
      </c>
      <c r="P496" s="402"/>
      <c r="Q496" s="402"/>
      <c r="R496" s="403"/>
      <c r="S496" s="630"/>
      <c r="T496" s="402"/>
      <c r="U496" s="403" t="s">
        <v>471</v>
      </c>
      <c r="V496" s="402"/>
      <c r="W496" s="402"/>
      <c r="X496" s="403"/>
      <c r="Y496" s="630"/>
      <c r="Z496" s="402"/>
      <c r="AA496" s="403" t="s">
        <v>471</v>
      </c>
      <c r="AB496" s="402"/>
      <c r="AC496" s="402"/>
      <c r="AD496" s="403"/>
      <c r="AE496" s="630"/>
      <c r="AF496" s="402"/>
      <c r="AG496" s="403" t="s">
        <v>471</v>
      </c>
      <c r="AH496" s="402"/>
      <c r="AI496" s="402"/>
      <c r="AJ496" s="403"/>
      <c r="AK496" s="630"/>
      <c r="AL496" s="402"/>
      <c r="AM496" s="403" t="s">
        <v>471</v>
      </c>
      <c r="AN496" s="402"/>
      <c r="AO496" s="402"/>
      <c r="AP496" s="403"/>
      <c r="AQ496" s="634"/>
      <c r="AR496" s="606"/>
      <c r="AS496" s="394"/>
      <c r="AT496" s="393"/>
      <c r="AU496" s="395"/>
      <c r="AV496" s="278"/>
      <c r="AW496" s="278"/>
      <c r="AX496" s="278"/>
      <c r="AY496" s="278"/>
      <c r="AZ496" s="278"/>
      <c r="BA496" s="278"/>
      <c r="BB496" s="278"/>
      <c r="BC496" s="278"/>
      <c r="BD496" s="278"/>
    </row>
    <row r="497" spans="1:56" ht="20.25" customHeight="1">
      <c r="A497" s="869">
        <v>116</v>
      </c>
      <c r="B497" s="870"/>
      <c r="C497" s="871" t="s">
        <v>2557</v>
      </c>
      <c r="D497" s="872"/>
      <c r="E497" s="873">
        <v>12.3</v>
      </c>
      <c r="F497" s="874">
        <v>86100</v>
      </c>
      <c r="G497" s="853" t="s">
        <v>1295</v>
      </c>
      <c r="H497" s="853" t="s">
        <v>541</v>
      </c>
      <c r="I497" s="867" t="s">
        <v>117</v>
      </c>
      <c r="J497" s="858">
        <v>4.5549999999999997</v>
      </c>
      <c r="K497" s="859" t="s">
        <v>17</v>
      </c>
      <c r="L497" s="868">
        <v>311565.99</v>
      </c>
      <c r="M497" s="867" t="s">
        <v>60</v>
      </c>
      <c r="N497" s="867" t="s">
        <v>2558</v>
      </c>
      <c r="O497" s="867" t="s">
        <v>117</v>
      </c>
      <c r="P497" s="858">
        <v>4.5549999999999997</v>
      </c>
      <c r="Q497" s="859" t="s">
        <v>17</v>
      </c>
      <c r="R497" s="868">
        <v>311565.99</v>
      </c>
      <c r="S497" s="867" t="s">
        <v>60</v>
      </c>
      <c r="T497" s="867" t="s">
        <v>2558</v>
      </c>
      <c r="U497" s="867" t="s">
        <v>117</v>
      </c>
      <c r="V497" s="858">
        <v>4.5549999999999997</v>
      </c>
      <c r="W497" s="859" t="s">
        <v>17</v>
      </c>
      <c r="X497" s="868">
        <v>311565.99</v>
      </c>
      <c r="Y497" s="867" t="s">
        <v>60</v>
      </c>
      <c r="Z497" s="867" t="s">
        <v>2558</v>
      </c>
      <c r="AA497" s="867" t="s">
        <v>117</v>
      </c>
      <c r="AB497" s="858">
        <v>4.5549999999999997</v>
      </c>
      <c r="AC497" s="859" t="s">
        <v>17</v>
      </c>
      <c r="AD497" s="868">
        <v>311565.99</v>
      </c>
      <c r="AE497" s="867" t="s">
        <v>60</v>
      </c>
      <c r="AF497" s="867" t="s">
        <v>2558</v>
      </c>
      <c r="AG497" s="867" t="s">
        <v>117</v>
      </c>
      <c r="AH497" s="858">
        <v>4.5549999999999997</v>
      </c>
      <c r="AI497" s="859" t="s">
        <v>17</v>
      </c>
      <c r="AJ497" s="868">
        <v>311565.99</v>
      </c>
      <c r="AK497" s="865" t="s">
        <v>2559</v>
      </c>
      <c r="AL497" s="865" t="s">
        <v>2685</v>
      </c>
      <c r="AM497" s="865" t="s">
        <v>117</v>
      </c>
      <c r="AN497" s="286">
        <v>6.7450000000000001</v>
      </c>
      <c r="AO497" s="846" t="s">
        <v>17</v>
      </c>
      <c r="AP497" s="866">
        <v>460000</v>
      </c>
      <c r="AQ497" s="634"/>
      <c r="AR497" s="606"/>
      <c r="AS497" s="394"/>
      <c r="AT497" s="393"/>
      <c r="AU497" s="395"/>
      <c r="AV497" s="278"/>
      <c r="AW497" s="278"/>
      <c r="AX497" s="278"/>
      <c r="AY497" s="278"/>
      <c r="AZ497" s="278"/>
      <c r="BA497" s="278"/>
      <c r="BB497" s="278"/>
      <c r="BC497" s="278"/>
      <c r="BD497" s="278"/>
    </row>
    <row r="498" spans="1:56" ht="20.25" customHeight="1">
      <c r="A498" s="869"/>
      <c r="B498" s="870"/>
      <c r="C498" s="871"/>
      <c r="D498" s="872"/>
      <c r="E498" s="873"/>
      <c r="F498" s="874"/>
      <c r="G498" s="853"/>
      <c r="H498" s="853"/>
      <c r="I498" s="867"/>
      <c r="J498" s="860" t="e">
        <f>J497*#REF!/#REF!</f>
        <v>#REF!</v>
      </c>
      <c r="K498" s="861" t="s">
        <v>32</v>
      </c>
      <c r="L498" s="868"/>
      <c r="M498" s="867"/>
      <c r="N498" s="867"/>
      <c r="O498" s="867"/>
      <c r="P498" s="860" t="e">
        <f>P497*#REF!/#REF!</f>
        <v>#REF!</v>
      </c>
      <c r="Q498" s="861" t="s">
        <v>32</v>
      </c>
      <c r="R498" s="868"/>
      <c r="S498" s="867"/>
      <c r="T498" s="867"/>
      <c r="U498" s="867"/>
      <c r="V498" s="860" t="e">
        <f>V497*#REF!/#REF!</f>
        <v>#REF!</v>
      </c>
      <c r="W498" s="861" t="s">
        <v>32</v>
      </c>
      <c r="X498" s="868"/>
      <c r="Y498" s="867"/>
      <c r="Z498" s="867"/>
      <c r="AA498" s="867"/>
      <c r="AB498" s="860" t="e">
        <f>AB497*#REF!/#REF!</f>
        <v>#REF!</v>
      </c>
      <c r="AC498" s="861" t="s">
        <v>32</v>
      </c>
      <c r="AD498" s="868"/>
      <c r="AE498" s="867"/>
      <c r="AF498" s="867"/>
      <c r="AG498" s="867"/>
      <c r="AH498" s="860">
        <f>AH497*F497/E497</f>
        <v>31884.999999999996</v>
      </c>
      <c r="AI498" s="861" t="s">
        <v>32</v>
      </c>
      <c r="AJ498" s="868"/>
      <c r="AK498" s="865"/>
      <c r="AL498" s="865"/>
      <c r="AM498" s="865"/>
      <c r="AN498" s="847">
        <f>AN497*F497/E497</f>
        <v>47215</v>
      </c>
      <c r="AO498" s="845" t="s">
        <v>32</v>
      </c>
      <c r="AP498" s="866"/>
      <c r="AQ498" s="634"/>
      <c r="AR498" s="606"/>
      <c r="AS498" s="394"/>
      <c r="AT498" s="393"/>
      <c r="AU498" s="395"/>
      <c r="AV498" s="278"/>
      <c r="AW498" s="278"/>
      <c r="AX498" s="278"/>
      <c r="AY498" s="278"/>
      <c r="AZ498" s="278"/>
      <c r="BA498" s="278"/>
      <c r="BB498" s="278"/>
      <c r="BC498" s="278"/>
      <c r="BD498" s="278"/>
    </row>
    <row r="499" spans="1:56" ht="51" customHeight="1">
      <c r="A499" s="756">
        <v>1</v>
      </c>
      <c r="B499" s="756">
        <v>805514</v>
      </c>
      <c r="C499" s="853" t="s">
        <v>3582</v>
      </c>
      <c r="D499" s="853"/>
      <c r="E499" s="853"/>
      <c r="F499" s="853"/>
      <c r="G499" s="853" t="s">
        <v>1295</v>
      </c>
      <c r="H499" s="853" t="s">
        <v>541</v>
      </c>
      <c r="I499" s="863" t="s">
        <v>462</v>
      </c>
      <c r="J499" s="856">
        <v>1</v>
      </c>
      <c r="K499" s="853" t="s">
        <v>17</v>
      </c>
      <c r="L499" s="853"/>
      <c r="M499" s="853"/>
      <c r="N499" s="853"/>
      <c r="O499" s="853"/>
      <c r="P499" s="856"/>
      <c r="Q499" s="857"/>
      <c r="R499" s="739"/>
      <c r="S499" s="853"/>
      <c r="T499" s="848"/>
      <c r="U499" s="268"/>
      <c r="V499" s="848"/>
      <c r="W499" s="848"/>
      <c r="X499" s="268"/>
      <c r="Y499" s="407"/>
      <c r="Z499" s="848"/>
      <c r="AA499" s="268"/>
      <c r="AB499" s="848"/>
      <c r="AC499" s="848"/>
      <c r="AD499" s="268"/>
      <c r="AE499" s="407"/>
      <c r="AF499" s="848"/>
      <c r="AG499" s="268"/>
      <c r="AH499" s="848"/>
      <c r="AI499" s="848"/>
      <c r="AJ499" s="268"/>
      <c r="AK499" s="407"/>
      <c r="AL499" s="848"/>
      <c r="AM499" s="268"/>
      <c r="AN499" s="848"/>
      <c r="AO499" s="848"/>
      <c r="AP499" s="268"/>
      <c r="AQ499" s="634"/>
      <c r="AR499" s="606"/>
      <c r="AS499" s="394"/>
      <c r="AT499" s="393"/>
      <c r="AU499" s="395"/>
      <c r="AV499" s="278"/>
      <c r="AW499" s="278"/>
      <c r="AX499" s="278"/>
      <c r="AY499" s="278"/>
      <c r="AZ499" s="278"/>
      <c r="BA499" s="278"/>
      <c r="BB499" s="278"/>
      <c r="BC499" s="278"/>
      <c r="BD499" s="278"/>
    </row>
    <row r="500" spans="1:56" ht="104.25" customHeight="1">
      <c r="A500" s="756">
        <v>2</v>
      </c>
      <c r="B500" s="756">
        <v>805463</v>
      </c>
      <c r="C500" s="853" t="s">
        <v>3589</v>
      </c>
      <c r="D500" s="853"/>
      <c r="E500" s="853"/>
      <c r="F500" s="853"/>
      <c r="G500" s="853"/>
      <c r="H500" s="862"/>
      <c r="I500" s="863"/>
      <c r="J500" s="856"/>
      <c r="K500" s="853"/>
      <c r="L500" s="853"/>
      <c r="M500" s="853" t="s">
        <v>60</v>
      </c>
      <c r="N500" s="853" t="s">
        <v>2584</v>
      </c>
      <c r="O500" s="853" t="s">
        <v>4120</v>
      </c>
      <c r="P500" s="853">
        <v>1000</v>
      </c>
      <c r="Q500" s="856" t="s">
        <v>2681</v>
      </c>
      <c r="R500" s="739"/>
      <c r="S500" s="853"/>
      <c r="T500" s="848"/>
      <c r="U500" s="268"/>
      <c r="V500" s="848"/>
      <c r="W500" s="848"/>
      <c r="X500" s="268"/>
      <c r="Y500" s="407"/>
      <c r="Z500" s="848"/>
      <c r="AA500" s="268"/>
      <c r="AB500" s="848"/>
      <c r="AC500" s="848"/>
      <c r="AD500" s="268"/>
      <c r="AE500" s="407"/>
      <c r="AF500" s="848"/>
      <c r="AG500" s="268"/>
      <c r="AH500" s="848"/>
      <c r="AI500" s="848"/>
      <c r="AJ500" s="268"/>
      <c r="AK500" s="407"/>
      <c r="AL500" s="848"/>
      <c r="AM500" s="268"/>
      <c r="AN500" s="848"/>
      <c r="AO500" s="848"/>
      <c r="AP500" s="268"/>
      <c r="AQ500" s="634"/>
      <c r="AR500" s="606"/>
      <c r="AS500" s="394"/>
      <c r="AT500" s="393"/>
      <c r="AU500" s="395"/>
      <c r="AV500" s="278"/>
      <c r="AW500" s="278"/>
      <c r="AX500" s="278"/>
      <c r="AY500" s="278"/>
      <c r="AZ500" s="278"/>
      <c r="BA500" s="278"/>
      <c r="BB500" s="278"/>
      <c r="BC500" s="278"/>
      <c r="BD500" s="278"/>
    </row>
    <row r="501" spans="1:56" ht="51" customHeight="1">
      <c r="A501" s="756">
        <v>3</v>
      </c>
      <c r="B501" s="876">
        <v>805807</v>
      </c>
      <c r="C501" s="878" t="s">
        <v>3593</v>
      </c>
      <c r="D501" s="853"/>
      <c r="E501" s="853"/>
      <c r="F501" s="853"/>
      <c r="G501" s="853" t="s">
        <v>3594</v>
      </c>
      <c r="H501" s="853" t="s">
        <v>3595</v>
      </c>
      <c r="I501" s="863" t="s">
        <v>462</v>
      </c>
      <c r="J501" s="856">
        <v>0.7</v>
      </c>
      <c r="K501" s="853" t="s">
        <v>17</v>
      </c>
      <c r="L501" s="853"/>
      <c r="M501" s="857"/>
      <c r="N501" s="853"/>
      <c r="O501" s="853"/>
      <c r="P501" s="853"/>
      <c r="Q501" s="857"/>
      <c r="R501" s="739"/>
      <c r="S501" s="853"/>
      <c r="T501" s="848"/>
      <c r="U501" s="268"/>
      <c r="V501" s="848"/>
      <c r="W501" s="848"/>
      <c r="X501" s="268"/>
      <c r="Y501" s="407"/>
      <c r="Z501" s="848"/>
      <c r="AA501" s="268"/>
      <c r="AB501" s="848"/>
      <c r="AC501" s="848"/>
      <c r="AD501" s="268"/>
      <c r="AE501" s="407"/>
      <c r="AF501" s="848"/>
      <c r="AG501" s="268"/>
      <c r="AH501" s="848"/>
      <c r="AI501" s="848"/>
      <c r="AJ501" s="268"/>
      <c r="AK501" s="407"/>
      <c r="AL501" s="848"/>
      <c r="AM501" s="268"/>
      <c r="AN501" s="848"/>
      <c r="AO501" s="848"/>
      <c r="AP501" s="268"/>
      <c r="AQ501" s="634"/>
      <c r="AR501" s="606"/>
      <c r="AS501" s="394"/>
      <c r="AT501" s="393"/>
      <c r="AU501" s="395"/>
      <c r="AV501" s="278"/>
      <c r="AW501" s="278"/>
      <c r="AX501" s="278"/>
      <c r="AY501" s="278"/>
      <c r="AZ501" s="278"/>
      <c r="BA501" s="278"/>
      <c r="BB501" s="278"/>
      <c r="BC501" s="278"/>
      <c r="BD501" s="278"/>
    </row>
    <row r="502" spans="1:56" ht="51" customHeight="1">
      <c r="A502" s="756">
        <v>4</v>
      </c>
      <c r="B502" s="877"/>
      <c r="C502" s="879"/>
      <c r="D502" s="757"/>
      <c r="E502" s="757"/>
      <c r="F502" s="853"/>
      <c r="G502" s="757" t="s">
        <v>3600</v>
      </c>
      <c r="H502" s="757" t="s">
        <v>3601</v>
      </c>
      <c r="I502" s="863" t="s">
        <v>462</v>
      </c>
      <c r="J502" s="856">
        <v>1</v>
      </c>
      <c r="K502" s="853" t="s">
        <v>17</v>
      </c>
      <c r="L502" s="853"/>
      <c r="M502" s="857"/>
      <c r="N502" s="757"/>
      <c r="O502" s="757"/>
      <c r="P502" s="853"/>
      <c r="Q502" s="857"/>
      <c r="R502" s="739"/>
      <c r="S502" s="853"/>
      <c r="T502" s="848"/>
      <c r="U502" s="268"/>
      <c r="V502" s="848"/>
      <c r="W502" s="848"/>
      <c r="X502" s="268"/>
      <c r="Y502" s="407"/>
      <c r="Z502" s="848"/>
      <c r="AA502" s="268"/>
      <c r="AB502" s="848"/>
      <c r="AC502" s="848"/>
      <c r="AD502" s="268"/>
      <c r="AE502" s="407"/>
      <c r="AF502" s="848"/>
      <c r="AG502" s="268"/>
      <c r="AH502" s="848"/>
      <c r="AI502" s="848"/>
      <c r="AJ502" s="268"/>
      <c r="AK502" s="407"/>
      <c r="AL502" s="848"/>
      <c r="AM502" s="268"/>
      <c r="AN502" s="848"/>
      <c r="AO502" s="848"/>
      <c r="AP502" s="268"/>
      <c r="AQ502" s="634"/>
      <c r="AR502" s="606"/>
      <c r="AS502" s="394"/>
      <c r="AT502" s="393"/>
      <c r="AU502" s="395"/>
      <c r="AV502" s="278"/>
      <c r="AW502" s="278"/>
      <c r="AX502" s="278"/>
      <c r="AY502" s="278"/>
      <c r="AZ502" s="278"/>
      <c r="BA502" s="278"/>
      <c r="BB502" s="278"/>
      <c r="BC502" s="278"/>
      <c r="BD502" s="278"/>
    </row>
    <row r="503" spans="1:56" ht="138" customHeight="1">
      <c r="A503" s="756">
        <v>5</v>
      </c>
      <c r="B503" s="756">
        <v>805684</v>
      </c>
      <c r="C503" s="853" t="s">
        <v>3605</v>
      </c>
      <c r="D503" s="757"/>
      <c r="E503" s="757"/>
      <c r="F503" s="853"/>
      <c r="G503" s="853"/>
      <c r="H503" s="862"/>
      <c r="I503" s="863"/>
      <c r="J503" s="856"/>
      <c r="K503" s="853"/>
      <c r="L503" s="853"/>
      <c r="M503" s="757" t="s">
        <v>3606</v>
      </c>
      <c r="N503" s="757" t="s">
        <v>3607</v>
      </c>
      <c r="O503" s="863" t="s">
        <v>462</v>
      </c>
      <c r="P503" s="853">
        <v>0.8</v>
      </c>
      <c r="Q503" s="853" t="s">
        <v>17</v>
      </c>
      <c r="R503" s="739"/>
      <c r="S503" s="853"/>
      <c r="T503" s="848"/>
      <c r="U503" s="268"/>
      <c r="V503" s="848"/>
      <c r="W503" s="848"/>
      <c r="X503" s="268"/>
      <c r="Y503" s="407"/>
      <c r="Z503" s="848"/>
      <c r="AA503" s="268"/>
      <c r="AB503" s="848"/>
      <c r="AC503" s="848"/>
      <c r="AD503" s="268"/>
      <c r="AE503" s="407"/>
      <c r="AF503" s="848"/>
      <c r="AG503" s="268"/>
      <c r="AH503" s="848"/>
      <c r="AI503" s="848"/>
      <c r="AJ503" s="268"/>
      <c r="AK503" s="407"/>
      <c r="AL503" s="848"/>
      <c r="AM503" s="268"/>
      <c r="AN503" s="848"/>
      <c r="AO503" s="848"/>
      <c r="AP503" s="268"/>
      <c r="AQ503" s="634"/>
      <c r="AR503" s="606"/>
      <c r="AS503" s="394"/>
      <c r="AT503" s="393"/>
      <c r="AU503" s="395"/>
      <c r="AV503" s="278"/>
      <c r="AW503" s="278"/>
      <c r="AX503" s="278"/>
      <c r="AY503" s="278"/>
      <c r="AZ503" s="278"/>
      <c r="BA503" s="278"/>
      <c r="BB503" s="278"/>
      <c r="BC503" s="278"/>
      <c r="BD503" s="278"/>
    </row>
    <row r="504" spans="1:56" ht="138" customHeight="1">
      <c r="A504" s="851">
        <v>6</v>
      </c>
      <c r="B504" s="876">
        <v>805453</v>
      </c>
      <c r="C504" s="878" t="s">
        <v>3612</v>
      </c>
      <c r="D504" s="758"/>
      <c r="E504" s="758"/>
      <c r="F504" s="849"/>
      <c r="G504" s="758" t="s">
        <v>107</v>
      </c>
      <c r="H504" s="758" t="s">
        <v>496</v>
      </c>
      <c r="I504" s="853" t="s">
        <v>4120</v>
      </c>
      <c r="J504" s="856">
        <v>1000</v>
      </c>
      <c r="K504" s="856" t="s">
        <v>2681</v>
      </c>
      <c r="L504" s="853"/>
      <c r="M504" s="857"/>
      <c r="N504" s="853"/>
      <c r="O504" s="853"/>
      <c r="P504" s="853"/>
      <c r="Q504" s="857"/>
      <c r="R504" s="739"/>
      <c r="S504" s="759"/>
      <c r="T504" s="848"/>
      <c r="U504" s="268"/>
      <c r="V504" s="848"/>
      <c r="W504" s="848"/>
      <c r="X504" s="268"/>
      <c r="Y504" s="407"/>
      <c r="Z504" s="848"/>
      <c r="AA504" s="268"/>
      <c r="AB504" s="848"/>
      <c r="AC504" s="848"/>
      <c r="AD504" s="268"/>
      <c r="AE504" s="407"/>
      <c r="AF504" s="848"/>
      <c r="AG504" s="268"/>
      <c r="AH504" s="848"/>
      <c r="AI504" s="848"/>
      <c r="AJ504" s="268"/>
      <c r="AK504" s="407"/>
      <c r="AL504" s="848"/>
      <c r="AM504" s="268"/>
      <c r="AN504" s="848"/>
      <c r="AO504" s="848"/>
      <c r="AP504" s="268"/>
      <c r="AQ504" s="634"/>
      <c r="AR504" s="606"/>
      <c r="AS504" s="394"/>
      <c r="AT504" s="393"/>
      <c r="AU504" s="395"/>
      <c r="AV504" s="278"/>
      <c r="AW504" s="278"/>
      <c r="AX504" s="278"/>
      <c r="AY504" s="278"/>
      <c r="AZ504" s="278"/>
      <c r="BA504" s="278"/>
      <c r="BB504" s="278"/>
      <c r="BC504" s="278"/>
      <c r="BD504" s="278"/>
    </row>
    <row r="505" spans="1:56" ht="138" customHeight="1">
      <c r="A505" s="851">
        <v>7</v>
      </c>
      <c r="B505" s="880"/>
      <c r="C505" s="881"/>
      <c r="D505" s="758"/>
      <c r="E505" s="758"/>
      <c r="F505" s="849"/>
      <c r="G505" s="849"/>
      <c r="H505" s="862"/>
      <c r="I505" s="863"/>
      <c r="J505" s="856"/>
      <c r="K505" s="853"/>
      <c r="L505" s="853"/>
      <c r="M505" s="758" t="s">
        <v>496</v>
      </c>
      <c r="N505" s="758" t="s">
        <v>1294</v>
      </c>
      <c r="O505" s="853" t="s">
        <v>4120</v>
      </c>
      <c r="P505" s="853">
        <v>1000</v>
      </c>
      <c r="Q505" s="856" t="s">
        <v>2681</v>
      </c>
      <c r="R505" s="739"/>
      <c r="S505" s="853"/>
      <c r="T505" s="848"/>
      <c r="U505" s="268"/>
      <c r="V505" s="848"/>
      <c r="W505" s="848"/>
      <c r="X505" s="268"/>
      <c r="Y505" s="407"/>
      <c r="Z505" s="848"/>
      <c r="AA505" s="268"/>
      <c r="AB505" s="848"/>
      <c r="AC505" s="848"/>
      <c r="AD505" s="268"/>
      <c r="AE505" s="407"/>
      <c r="AF505" s="848"/>
      <c r="AG505" s="268"/>
      <c r="AH505" s="848"/>
      <c r="AI505" s="848"/>
      <c r="AJ505" s="268"/>
      <c r="AK505" s="407"/>
      <c r="AL505" s="848"/>
      <c r="AM505" s="268"/>
      <c r="AN505" s="848"/>
      <c r="AO505" s="848"/>
      <c r="AP505" s="268"/>
      <c r="AQ505" s="634"/>
      <c r="AR505" s="606"/>
      <c r="AS505" s="394"/>
      <c r="AT505" s="393"/>
      <c r="AU505" s="395"/>
      <c r="AV505" s="278"/>
      <c r="AW505" s="278"/>
      <c r="AX505" s="278"/>
      <c r="AY505" s="278"/>
      <c r="AZ505" s="278"/>
      <c r="BA505" s="278"/>
      <c r="BB505" s="278"/>
      <c r="BC505" s="278"/>
      <c r="BD505" s="278"/>
    </row>
    <row r="506" spans="1:56" ht="138" customHeight="1">
      <c r="A506" s="756">
        <v>8</v>
      </c>
      <c r="B506" s="852">
        <v>805462</v>
      </c>
      <c r="C506" s="850" t="s">
        <v>1297</v>
      </c>
      <c r="D506" s="757"/>
      <c r="E506" s="757"/>
      <c r="F506" s="853"/>
      <c r="G506" s="757" t="s">
        <v>3620</v>
      </c>
      <c r="H506" s="757" t="s">
        <v>489</v>
      </c>
      <c r="I506" s="863" t="s">
        <v>462</v>
      </c>
      <c r="J506" s="856">
        <v>1</v>
      </c>
      <c r="K506" s="853" t="s">
        <v>17</v>
      </c>
      <c r="L506" s="853"/>
      <c r="M506" s="857"/>
      <c r="N506" s="757"/>
      <c r="O506" s="757"/>
      <c r="P506" s="853"/>
      <c r="Q506" s="855"/>
      <c r="R506" s="761"/>
      <c r="S506" s="853"/>
      <c r="T506" s="848"/>
      <c r="U506" s="268"/>
      <c r="V506" s="848"/>
      <c r="W506" s="848"/>
      <c r="X506" s="268"/>
      <c r="Y506" s="407"/>
      <c r="Z506" s="848"/>
      <c r="AA506" s="268"/>
      <c r="AB506" s="848"/>
      <c r="AC506" s="848"/>
      <c r="AD506" s="268"/>
      <c r="AE506" s="407"/>
      <c r="AF506" s="848"/>
      <c r="AG506" s="268"/>
      <c r="AH506" s="848"/>
      <c r="AI506" s="848"/>
      <c r="AJ506" s="268"/>
      <c r="AK506" s="407"/>
      <c r="AL506" s="848"/>
      <c r="AM506" s="268"/>
      <c r="AN506" s="848"/>
      <c r="AO506" s="848"/>
      <c r="AP506" s="268"/>
      <c r="AQ506" s="634"/>
      <c r="AR506" s="606"/>
      <c r="AS506" s="394"/>
      <c r="AT506" s="393"/>
      <c r="AU506" s="395"/>
      <c r="AV506" s="278"/>
      <c r="AW506" s="278"/>
      <c r="AX506" s="278"/>
      <c r="AY506" s="278"/>
      <c r="AZ506" s="278"/>
      <c r="BA506" s="278"/>
      <c r="BB506" s="278"/>
      <c r="BC506" s="278"/>
      <c r="BD506" s="278"/>
    </row>
    <row r="507" spans="1:56" ht="138" customHeight="1">
      <c r="A507" s="851">
        <v>9</v>
      </c>
      <c r="B507" s="876">
        <v>805808</v>
      </c>
      <c r="C507" s="878" t="s">
        <v>3622</v>
      </c>
      <c r="D507" s="758"/>
      <c r="E507" s="758"/>
      <c r="F507" s="849"/>
      <c r="G507" s="849"/>
      <c r="H507" s="862"/>
      <c r="I507" s="863"/>
      <c r="J507" s="856"/>
      <c r="K507" s="853"/>
      <c r="L507" s="853"/>
      <c r="M507" s="758" t="s">
        <v>107</v>
      </c>
      <c r="N507" s="758" t="s">
        <v>496</v>
      </c>
      <c r="O507" s="864" t="s">
        <v>93</v>
      </c>
      <c r="P507" s="853">
        <v>1</v>
      </c>
      <c r="Q507" s="855" t="s">
        <v>449</v>
      </c>
      <c r="R507" s="761"/>
      <c r="S507" s="850"/>
      <c r="T507" s="848"/>
      <c r="U507" s="268"/>
      <c r="V507" s="848"/>
      <c r="W507" s="848"/>
      <c r="X507" s="268"/>
      <c r="Y507" s="407"/>
      <c r="Z507" s="848"/>
      <c r="AA507" s="268"/>
      <c r="AB507" s="848"/>
      <c r="AC507" s="848"/>
      <c r="AD507" s="268"/>
      <c r="AE507" s="407"/>
      <c r="AF507" s="848"/>
      <c r="AG507" s="268"/>
      <c r="AH507" s="848"/>
      <c r="AI507" s="848"/>
      <c r="AJ507" s="268"/>
      <c r="AK507" s="407"/>
      <c r="AL507" s="848"/>
      <c r="AM507" s="268"/>
      <c r="AN507" s="848"/>
      <c r="AO507" s="848"/>
      <c r="AP507" s="268"/>
      <c r="AQ507" s="634"/>
      <c r="AR507" s="606"/>
      <c r="AS507" s="394"/>
      <c r="AT507" s="393"/>
      <c r="AU507" s="395"/>
      <c r="AV507" s="278"/>
      <c r="AW507" s="278"/>
      <c r="AX507" s="278"/>
      <c r="AY507" s="278"/>
      <c r="AZ507" s="278"/>
      <c r="BA507" s="278"/>
      <c r="BB507" s="278"/>
      <c r="BC507" s="278"/>
      <c r="BD507" s="278"/>
    </row>
    <row r="508" spans="1:56" ht="138" customHeight="1">
      <c r="A508" s="851">
        <v>10</v>
      </c>
      <c r="B508" s="880"/>
      <c r="C508" s="881"/>
      <c r="D508" s="758"/>
      <c r="E508" s="758"/>
      <c r="F508" s="849"/>
      <c r="G508" s="849"/>
      <c r="H508" s="862"/>
      <c r="I508" s="863"/>
      <c r="J508" s="856"/>
      <c r="K508" s="853"/>
      <c r="L508" s="853"/>
      <c r="M508" s="758" t="s">
        <v>624</v>
      </c>
      <c r="N508" s="758" t="s">
        <v>3626</v>
      </c>
      <c r="O508" s="863" t="s">
        <v>462</v>
      </c>
      <c r="P508" s="856">
        <v>1</v>
      </c>
      <c r="Q508" s="853" t="s">
        <v>17</v>
      </c>
      <c r="R508" s="761"/>
      <c r="S508" s="850"/>
      <c r="T508" s="848"/>
      <c r="U508" s="268"/>
      <c r="V508" s="848"/>
      <c r="W508" s="848"/>
      <c r="X508" s="268"/>
      <c r="Y508" s="407"/>
      <c r="Z508" s="848"/>
      <c r="AA508" s="268"/>
      <c r="AB508" s="848"/>
      <c r="AC508" s="848"/>
      <c r="AD508" s="268"/>
      <c r="AE508" s="407"/>
      <c r="AF508" s="848"/>
      <c r="AG508" s="268"/>
      <c r="AH508" s="848"/>
      <c r="AI508" s="848"/>
      <c r="AJ508" s="268"/>
      <c r="AK508" s="407"/>
      <c r="AL508" s="848"/>
      <c r="AM508" s="268"/>
      <c r="AN508" s="848"/>
      <c r="AO508" s="848"/>
      <c r="AP508" s="268"/>
      <c r="AQ508" s="634"/>
      <c r="AR508" s="606"/>
      <c r="AS508" s="394"/>
      <c r="AT508" s="393"/>
      <c r="AU508" s="395"/>
      <c r="AV508" s="278"/>
      <c r="AW508" s="278"/>
      <c r="AX508" s="278"/>
      <c r="AY508" s="278"/>
      <c r="AZ508" s="278"/>
      <c r="BA508" s="278"/>
      <c r="BB508" s="278"/>
      <c r="BC508" s="278"/>
      <c r="BD508" s="278"/>
    </row>
    <row r="509" spans="1:56" ht="138" customHeight="1">
      <c r="A509" s="851">
        <v>11</v>
      </c>
      <c r="B509" s="880"/>
      <c r="C509" s="881"/>
      <c r="D509" s="758"/>
      <c r="E509" s="758"/>
      <c r="F509" s="849"/>
      <c r="G509" s="849"/>
      <c r="H509" s="862"/>
      <c r="I509" s="863"/>
      <c r="J509" s="856"/>
      <c r="K509" s="853"/>
      <c r="L509" s="853"/>
      <c r="M509" s="758" t="s">
        <v>3628</v>
      </c>
      <c r="N509" s="758" t="s">
        <v>3629</v>
      </c>
      <c r="O509" s="864" t="s">
        <v>112</v>
      </c>
      <c r="P509" s="854">
        <v>2000</v>
      </c>
      <c r="Q509" s="855" t="s">
        <v>32</v>
      </c>
      <c r="R509" s="761"/>
      <c r="S509" s="850"/>
      <c r="T509" s="848"/>
      <c r="U509" s="268"/>
      <c r="V509" s="848"/>
      <c r="W509" s="848"/>
      <c r="X509" s="268"/>
      <c r="Y509" s="407"/>
      <c r="Z509" s="848"/>
      <c r="AA509" s="268"/>
      <c r="AB509" s="848"/>
      <c r="AC509" s="848"/>
      <c r="AD509" s="268"/>
      <c r="AE509" s="407"/>
      <c r="AF509" s="848"/>
      <c r="AG509" s="268"/>
      <c r="AH509" s="848"/>
      <c r="AI509" s="848"/>
      <c r="AJ509" s="268"/>
      <c r="AK509" s="407"/>
      <c r="AL509" s="848"/>
      <c r="AM509" s="268"/>
      <c r="AN509" s="848"/>
      <c r="AO509" s="848"/>
      <c r="AP509" s="268"/>
      <c r="AQ509" s="634"/>
      <c r="AR509" s="606"/>
      <c r="AS509" s="394"/>
      <c r="AT509" s="393"/>
      <c r="AU509" s="395"/>
      <c r="AV509" s="278"/>
      <c r="AW509" s="278"/>
      <c r="AX509" s="278"/>
      <c r="AY509" s="278"/>
      <c r="AZ509" s="278"/>
      <c r="BA509" s="278"/>
      <c r="BB509" s="278"/>
      <c r="BC509" s="278"/>
      <c r="BD509" s="278"/>
    </row>
    <row r="510" spans="1:56" ht="12" customHeight="1">
      <c r="A510" s="763"/>
      <c r="B510" s="764"/>
      <c r="C510" s="765"/>
      <c r="D510" s="853"/>
      <c r="E510" s="853"/>
      <c r="F510" s="853"/>
      <c r="G510" s="853"/>
      <c r="H510" s="853"/>
      <c r="I510" s="853"/>
      <c r="J510" s="392"/>
      <c r="K510" s="853"/>
      <c r="L510" s="853"/>
      <c r="M510" s="857"/>
      <c r="N510" s="853"/>
      <c r="O510" s="853"/>
      <c r="P510" s="766"/>
      <c r="Q510" s="767"/>
      <c r="R510" s="768"/>
      <c r="S510" s="853"/>
      <c r="T510" s="848"/>
      <c r="U510" s="268"/>
      <c r="V510" s="848"/>
      <c r="W510" s="848"/>
      <c r="X510" s="268"/>
      <c r="Y510" s="407"/>
      <c r="Z510" s="848"/>
      <c r="AA510" s="268"/>
      <c r="AB510" s="848"/>
      <c r="AC510" s="848"/>
      <c r="AD510" s="268"/>
      <c r="AE510" s="407"/>
      <c r="AF510" s="848"/>
      <c r="AG510" s="268"/>
      <c r="AH510" s="848"/>
      <c r="AI510" s="848"/>
      <c r="AJ510" s="268"/>
      <c r="AK510" s="407"/>
      <c r="AL510" s="848"/>
      <c r="AM510" s="268"/>
      <c r="AN510" s="848"/>
      <c r="AO510" s="848"/>
      <c r="AP510" s="268"/>
      <c r="AQ510" s="634"/>
      <c r="AR510" s="606"/>
      <c r="AS510" s="394"/>
      <c r="AT510" s="393"/>
      <c r="AU510" s="395"/>
      <c r="AV510" s="278"/>
      <c r="AW510" s="278"/>
      <c r="AX510" s="278"/>
      <c r="AY510" s="278"/>
      <c r="AZ510" s="278"/>
      <c r="BA510" s="278"/>
      <c r="BB510" s="278"/>
      <c r="BC510" s="278"/>
      <c r="BD510" s="278"/>
    </row>
    <row r="511" spans="1:56" ht="12" customHeight="1">
      <c r="A511" s="875" t="s">
        <v>1278</v>
      </c>
      <c r="B511" s="875"/>
      <c r="C511" s="875"/>
      <c r="D511" s="769"/>
      <c r="E511" s="769"/>
      <c r="F511" s="769">
        <f>SUM(F499:F509)</f>
        <v>0</v>
      </c>
      <c r="G511" s="769">
        <f>SUM(G499:G509)</f>
        <v>0</v>
      </c>
      <c r="H511" s="769"/>
      <c r="I511" s="769"/>
      <c r="J511" s="770"/>
      <c r="K511" s="769">
        <f>SUM(K499:K509)</f>
        <v>0</v>
      </c>
      <c r="L511" s="769">
        <f>SUM(L499:L509)</f>
        <v>0</v>
      </c>
      <c r="M511" s="769"/>
      <c r="N511" s="769"/>
      <c r="O511" s="769"/>
      <c r="P511" s="769"/>
      <c r="Q511" s="771"/>
      <c r="R511" s="772">
        <f>SUM(R499:R509)</f>
        <v>0</v>
      </c>
      <c r="S511" s="769"/>
      <c r="T511" s="848"/>
      <c r="U511" s="268"/>
      <c r="V511" s="848"/>
      <c r="W511" s="848"/>
      <c r="X511" s="268"/>
      <c r="Y511" s="407"/>
      <c r="Z511" s="848"/>
      <c r="AA511" s="268"/>
      <c r="AB511" s="848"/>
      <c r="AC511" s="848"/>
      <c r="AD511" s="268"/>
      <c r="AE511" s="407"/>
      <c r="AF511" s="848"/>
      <c r="AG511" s="268"/>
      <c r="AH511" s="848"/>
      <c r="AI511" s="848"/>
      <c r="AJ511" s="268"/>
      <c r="AK511" s="407"/>
      <c r="AL511" s="848"/>
      <c r="AM511" s="268"/>
      <c r="AN511" s="848"/>
      <c r="AO511" s="848"/>
      <c r="AP511" s="268"/>
      <c r="AQ511" s="634"/>
      <c r="AR511" s="606"/>
      <c r="AS511" s="394"/>
      <c r="AT511" s="393"/>
      <c r="AU511" s="395"/>
      <c r="AV511" s="278"/>
      <c r="AW511" s="278"/>
      <c r="AX511" s="278"/>
      <c r="AY511" s="278"/>
      <c r="AZ511" s="278"/>
      <c r="BA511" s="278"/>
      <c r="BB511" s="278"/>
      <c r="BC511" s="278"/>
      <c r="BD511" s="278"/>
    </row>
    <row r="512" spans="1:56" ht="36.75" customHeight="1">
      <c r="A512" s="931" t="s">
        <v>3251</v>
      </c>
      <c r="B512" s="932"/>
      <c r="C512" s="932"/>
      <c r="D512" s="932"/>
      <c r="E512" s="400"/>
      <c r="F512" s="400"/>
      <c r="G512" s="400"/>
      <c r="H512" s="400"/>
      <c r="I512" s="400"/>
      <c r="J512" s="400"/>
      <c r="K512" s="400"/>
      <c r="L512" s="400"/>
      <c r="M512" s="400"/>
      <c r="N512" s="400"/>
      <c r="O512" s="400"/>
      <c r="P512" s="400"/>
      <c r="Q512" s="400"/>
      <c r="R512" s="400"/>
      <c r="S512" s="400"/>
      <c r="T512" s="400"/>
      <c r="U512" s="400"/>
      <c r="V512" s="400"/>
      <c r="W512" s="400"/>
      <c r="X512" s="400"/>
      <c r="Y512" s="400"/>
      <c r="Z512" s="400"/>
      <c r="AA512" s="400"/>
      <c r="AB512" s="400"/>
      <c r="AC512" s="400"/>
      <c r="AD512" s="400"/>
      <c r="AE512" s="400"/>
      <c r="AF512" s="400"/>
      <c r="AG512" s="400"/>
      <c r="AH512" s="400"/>
      <c r="AI512" s="400"/>
      <c r="AJ512" s="400"/>
      <c r="AK512" s="400"/>
      <c r="AL512" s="400"/>
      <c r="AM512" s="400"/>
      <c r="AN512" s="400"/>
      <c r="AO512" s="400"/>
      <c r="AP512" s="400"/>
      <c r="AQ512" s="634"/>
      <c r="AR512" s="606"/>
      <c r="AS512" s="394"/>
      <c r="AT512" s="393"/>
      <c r="AU512" s="395"/>
      <c r="AV512" s="278"/>
      <c r="AW512" s="278"/>
      <c r="AX512" s="278"/>
      <c r="AY512" s="278"/>
      <c r="AZ512" s="278"/>
      <c r="BA512" s="278"/>
      <c r="BB512" s="278"/>
      <c r="BC512" s="278"/>
      <c r="BD512" s="278"/>
    </row>
    <row r="513" spans="1:56">
      <c r="A513" s="933" t="s">
        <v>3252</v>
      </c>
      <c r="B513" s="934"/>
      <c r="C513" s="934"/>
      <c r="D513" s="934"/>
      <c r="E513" s="934"/>
      <c r="F513" s="934"/>
      <c r="G513" s="934"/>
      <c r="H513" s="934"/>
      <c r="I513" s="930" t="s">
        <v>114</v>
      </c>
      <c r="J513" s="402"/>
      <c r="K513" s="402" t="s">
        <v>17</v>
      </c>
      <c r="L513" s="402"/>
      <c r="M513" s="630"/>
      <c r="N513" s="402"/>
      <c r="O513" s="930" t="s">
        <v>114</v>
      </c>
      <c r="P513" s="402"/>
      <c r="Q513" s="402" t="s">
        <v>17</v>
      </c>
      <c r="R513" s="402"/>
      <c r="S513" s="630"/>
      <c r="T513" s="402"/>
      <c r="U513" s="930" t="s">
        <v>114</v>
      </c>
      <c r="V513" s="402"/>
      <c r="W513" s="402" t="s">
        <v>17</v>
      </c>
      <c r="X513" s="402"/>
      <c r="Y513" s="630"/>
      <c r="Z513" s="402"/>
      <c r="AA513" s="930" t="s">
        <v>114</v>
      </c>
      <c r="AB513" s="402"/>
      <c r="AC513" s="402" t="s">
        <v>17</v>
      </c>
      <c r="AD513" s="402"/>
      <c r="AE513" s="630"/>
      <c r="AF513" s="402"/>
      <c r="AG513" s="930" t="s">
        <v>114</v>
      </c>
      <c r="AH513" s="402"/>
      <c r="AI513" s="402" t="s">
        <v>17</v>
      </c>
      <c r="AJ513" s="402"/>
      <c r="AK513" s="630"/>
      <c r="AL513" s="402"/>
      <c r="AM513" s="930" t="s">
        <v>114</v>
      </c>
      <c r="AN513" s="402"/>
      <c r="AO513" s="402" t="s">
        <v>17</v>
      </c>
      <c r="AP513" s="402"/>
      <c r="AQ513" s="634"/>
      <c r="AR513" s="606"/>
      <c r="AS513" s="394"/>
      <c r="AT513" s="393"/>
      <c r="AU513" s="395"/>
      <c r="AV513" s="278"/>
      <c r="AW513" s="278"/>
      <c r="AX513" s="278"/>
      <c r="AY513" s="278"/>
      <c r="AZ513" s="278"/>
      <c r="BA513" s="278"/>
      <c r="BB513" s="278"/>
      <c r="BC513" s="278"/>
      <c r="BD513" s="278"/>
    </row>
    <row r="514" spans="1:56">
      <c r="A514" s="933"/>
      <c r="B514" s="934"/>
      <c r="C514" s="934"/>
      <c r="D514" s="934"/>
      <c r="E514" s="934"/>
      <c r="F514" s="934"/>
      <c r="G514" s="934"/>
      <c r="H514" s="934"/>
      <c r="I514" s="930"/>
      <c r="J514" s="402"/>
      <c r="K514" s="402" t="s">
        <v>32</v>
      </c>
      <c r="L514" s="402"/>
      <c r="M514" s="630"/>
      <c r="N514" s="402"/>
      <c r="O514" s="930"/>
      <c r="P514" s="402"/>
      <c r="Q514" s="402" t="s">
        <v>32</v>
      </c>
      <c r="R514" s="402"/>
      <c r="S514" s="630"/>
      <c r="T514" s="402"/>
      <c r="U514" s="930"/>
      <c r="V514" s="402"/>
      <c r="W514" s="402" t="s">
        <v>32</v>
      </c>
      <c r="X514" s="402"/>
      <c r="Y514" s="630"/>
      <c r="Z514" s="402"/>
      <c r="AA514" s="930"/>
      <c r="AB514" s="402"/>
      <c r="AC514" s="402" t="s">
        <v>32</v>
      </c>
      <c r="AD514" s="402"/>
      <c r="AE514" s="630"/>
      <c r="AF514" s="402"/>
      <c r="AG514" s="930"/>
      <c r="AH514" s="402"/>
      <c r="AI514" s="402" t="s">
        <v>32</v>
      </c>
      <c r="AJ514" s="402"/>
      <c r="AK514" s="630"/>
      <c r="AL514" s="402"/>
      <c r="AM514" s="930"/>
      <c r="AN514" s="402"/>
      <c r="AO514" s="402" t="s">
        <v>32</v>
      </c>
      <c r="AP514" s="402"/>
      <c r="AQ514" s="634"/>
      <c r="AR514" s="606"/>
      <c r="AS514" s="394"/>
      <c r="AT514" s="393"/>
      <c r="AU514" s="395"/>
      <c r="AV514" s="278"/>
      <c r="AW514" s="278"/>
      <c r="AX514" s="278"/>
      <c r="AY514" s="278"/>
      <c r="AZ514" s="278"/>
      <c r="BA514" s="278"/>
      <c r="BB514" s="278"/>
      <c r="BC514" s="278"/>
      <c r="BD514" s="278"/>
    </row>
    <row r="515" spans="1:56">
      <c r="A515" s="933"/>
      <c r="B515" s="934"/>
      <c r="C515" s="934"/>
      <c r="D515" s="934"/>
      <c r="E515" s="934"/>
      <c r="F515" s="934"/>
      <c r="G515" s="934"/>
      <c r="H515" s="934"/>
      <c r="I515" s="930" t="s">
        <v>115</v>
      </c>
      <c r="J515" s="402"/>
      <c r="K515" s="402" t="s">
        <v>17</v>
      </c>
      <c r="L515" s="402"/>
      <c r="M515" s="630"/>
      <c r="N515" s="402"/>
      <c r="O515" s="930" t="s">
        <v>115</v>
      </c>
      <c r="P515" s="402"/>
      <c r="Q515" s="402" t="s">
        <v>17</v>
      </c>
      <c r="R515" s="402"/>
      <c r="S515" s="630"/>
      <c r="T515" s="402"/>
      <c r="U515" s="930" t="s">
        <v>115</v>
      </c>
      <c r="V515" s="402"/>
      <c r="W515" s="402" t="s">
        <v>17</v>
      </c>
      <c r="X515" s="402"/>
      <c r="Y515" s="630"/>
      <c r="Z515" s="402"/>
      <c r="AA515" s="930" t="s">
        <v>115</v>
      </c>
      <c r="AB515" s="402"/>
      <c r="AC515" s="402" t="s">
        <v>17</v>
      </c>
      <c r="AD515" s="402"/>
      <c r="AE515" s="630"/>
      <c r="AF515" s="402"/>
      <c r="AG515" s="930" t="s">
        <v>115</v>
      </c>
      <c r="AH515" s="402"/>
      <c r="AI515" s="402" t="s">
        <v>17</v>
      </c>
      <c r="AJ515" s="402"/>
      <c r="AK515" s="630"/>
      <c r="AL515" s="402"/>
      <c r="AM515" s="930" t="s">
        <v>115</v>
      </c>
      <c r="AN515" s="402"/>
      <c r="AO515" s="402" t="s">
        <v>17</v>
      </c>
      <c r="AP515" s="402"/>
      <c r="AQ515" s="634"/>
      <c r="AR515" s="606"/>
      <c r="AS515" s="394"/>
      <c r="AT515" s="393"/>
      <c r="AU515" s="395"/>
      <c r="AV515" s="278"/>
      <c r="AW515" s="278"/>
      <c r="AX515" s="278"/>
      <c r="AY515" s="278"/>
      <c r="AZ515" s="278"/>
      <c r="BA515" s="278"/>
      <c r="BB515" s="278"/>
      <c r="BC515" s="278"/>
      <c r="BD515" s="278"/>
    </row>
    <row r="516" spans="1:56">
      <c r="A516" s="933"/>
      <c r="B516" s="934"/>
      <c r="C516" s="934"/>
      <c r="D516" s="934"/>
      <c r="E516" s="934"/>
      <c r="F516" s="934"/>
      <c r="G516" s="934"/>
      <c r="H516" s="934"/>
      <c r="I516" s="930"/>
      <c r="J516" s="402"/>
      <c r="K516" s="402" t="s">
        <v>32</v>
      </c>
      <c r="L516" s="402"/>
      <c r="M516" s="630"/>
      <c r="N516" s="402"/>
      <c r="O516" s="930"/>
      <c r="P516" s="402"/>
      <c r="Q516" s="402" t="s">
        <v>32</v>
      </c>
      <c r="R516" s="402"/>
      <c r="S516" s="630"/>
      <c r="T516" s="402"/>
      <c r="U516" s="930"/>
      <c r="V516" s="402"/>
      <c r="W516" s="402" t="s">
        <v>32</v>
      </c>
      <c r="X516" s="402"/>
      <c r="Y516" s="630"/>
      <c r="Z516" s="402"/>
      <c r="AA516" s="930"/>
      <c r="AB516" s="402"/>
      <c r="AC516" s="402" t="s">
        <v>32</v>
      </c>
      <c r="AD516" s="402"/>
      <c r="AE516" s="630"/>
      <c r="AF516" s="402"/>
      <c r="AG516" s="930"/>
      <c r="AH516" s="402"/>
      <c r="AI516" s="402" t="s">
        <v>32</v>
      </c>
      <c r="AJ516" s="402"/>
      <c r="AK516" s="630"/>
      <c r="AL516" s="402"/>
      <c r="AM516" s="930"/>
      <c r="AN516" s="402"/>
      <c r="AO516" s="402" t="s">
        <v>32</v>
      </c>
      <c r="AP516" s="402"/>
      <c r="AQ516" s="634"/>
      <c r="AR516" s="606"/>
      <c r="AS516" s="394"/>
      <c r="AT516" s="393"/>
      <c r="AU516" s="395"/>
      <c r="AV516" s="278"/>
      <c r="AW516" s="278"/>
      <c r="AX516" s="278"/>
      <c r="AY516" s="278"/>
      <c r="AZ516" s="278"/>
      <c r="BA516" s="278"/>
      <c r="BB516" s="278"/>
      <c r="BC516" s="278"/>
      <c r="BD516" s="278"/>
    </row>
    <row r="517" spans="1:56">
      <c r="A517" s="933"/>
      <c r="B517" s="934"/>
      <c r="C517" s="934"/>
      <c r="D517" s="934"/>
      <c r="E517" s="934"/>
      <c r="F517" s="934"/>
      <c r="G517" s="934"/>
      <c r="H517" s="934"/>
      <c r="I517" s="930" t="s">
        <v>116</v>
      </c>
      <c r="J517" s="402"/>
      <c r="K517" s="402" t="s">
        <v>17</v>
      </c>
      <c r="L517" s="402"/>
      <c r="M517" s="630"/>
      <c r="N517" s="402"/>
      <c r="O517" s="930" t="s">
        <v>116</v>
      </c>
      <c r="P517" s="402"/>
      <c r="Q517" s="402" t="s">
        <v>17</v>
      </c>
      <c r="R517" s="402"/>
      <c r="S517" s="630"/>
      <c r="T517" s="402"/>
      <c r="U517" s="930" t="s">
        <v>116</v>
      </c>
      <c r="V517" s="402"/>
      <c r="W517" s="402" t="s">
        <v>17</v>
      </c>
      <c r="X517" s="402"/>
      <c r="Y517" s="630"/>
      <c r="Z517" s="402"/>
      <c r="AA517" s="930" t="s">
        <v>116</v>
      </c>
      <c r="AB517" s="402"/>
      <c r="AC517" s="402" t="s">
        <v>17</v>
      </c>
      <c r="AD517" s="402"/>
      <c r="AE517" s="630"/>
      <c r="AF517" s="402"/>
      <c r="AG517" s="930" t="s">
        <v>116</v>
      </c>
      <c r="AH517" s="402"/>
      <c r="AI517" s="402" t="s">
        <v>17</v>
      </c>
      <c r="AJ517" s="402"/>
      <c r="AK517" s="630"/>
      <c r="AL517" s="402"/>
      <c r="AM517" s="930" t="s">
        <v>116</v>
      </c>
      <c r="AN517" s="402"/>
      <c r="AO517" s="402" t="s">
        <v>17</v>
      </c>
      <c r="AP517" s="402"/>
      <c r="AQ517" s="634"/>
      <c r="AR517" s="606"/>
      <c r="AS517" s="394"/>
      <c r="AT517" s="393"/>
      <c r="AU517" s="395"/>
      <c r="AV517" s="278"/>
      <c r="AW517" s="278"/>
      <c r="AX517" s="278"/>
      <c r="AY517" s="278"/>
      <c r="AZ517" s="278"/>
      <c r="BA517" s="278"/>
      <c r="BB517" s="278"/>
      <c r="BC517" s="278"/>
      <c r="BD517" s="278"/>
    </row>
    <row r="518" spans="1:56">
      <c r="A518" s="933"/>
      <c r="B518" s="934"/>
      <c r="C518" s="934"/>
      <c r="D518" s="934"/>
      <c r="E518" s="934"/>
      <c r="F518" s="934"/>
      <c r="G518" s="934"/>
      <c r="H518" s="934"/>
      <c r="I518" s="930"/>
      <c r="J518" s="402"/>
      <c r="K518" s="402" t="s">
        <v>32</v>
      </c>
      <c r="L518" s="402"/>
      <c r="M518" s="630"/>
      <c r="N518" s="402"/>
      <c r="O518" s="930"/>
      <c r="P518" s="402"/>
      <c r="Q518" s="402" t="s">
        <v>32</v>
      </c>
      <c r="R518" s="402"/>
      <c r="S518" s="630"/>
      <c r="T518" s="402"/>
      <c r="U518" s="930"/>
      <c r="V518" s="402"/>
      <c r="W518" s="402" t="s">
        <v>32</v>
      </c>
      <c r="X518" s="402"/>
      <c r="Y518" s="630"/>
      <c r="Z518" s="402"/>
      <c r="AA518" s="930"/>
      <c r="AB518" s="402"/>
      <c r="AC518" s="402" t="s">
        <v>32</v>
      </c>
      <c r="AD518" s="402"/>
      <c r="AE518" s="630"/>
      <c r="AF518" s="402"/>
      <c r="AG518" s="930"/>
      <c r="AH518" s="402"/>
      <c r="AI518" s="402" t="s">
        <v>32</v>
      </c>
      <c r="AJ518" s="402"/>
      <c r="AK518" s="630"/>
      <c r="AL518" s="402"/>
      <c r="AM518" s="930"/>
      <c r="AN518" s="402"/>
      <c r="AO518" s="402" t="s">
        <v>32</v>
      </c>
      <c r="AP518" s="402"/>
      <c r="AQ518" s="634"/>
      <c r="AR518" s="606"/>
      <c r="AS518" s="394"/>
      <c r="AT518" s="393"/>
      <c r="AU518" s="395"/>
      <c r="AV518" s="278"/>
      <c r="AW518" s="278"/>
      <c r="AX518" s="278"/>
      <c r="AY518" s="278"/>
      <c r="AZ518" s="278"/>
      <c r="BA518" s="278"/>
      <c r="BB518" s="278"/>
      <c r="BC518" s="278"/>
      <c r="BD518" s="278"/>
    </row>
    <row r="519" spans="1:56">
      <c r="A519" s="933"/>
      <c r="B519" s="934"/>
      <c r="C519" s="934"/>
      <c r="D519" s="934"/>
      <c r="E519" s="934"/>
      <c r="F519" s="934"/>
      <c r="G519" s="934"/>
      <c r="H519" s="934"/>
      <c r="I519" s="930" t="s">
        <v>117</v>
      </c>
      <c r="J519" s="402"/>
      <c r="K519" s="402" t="s">
        <v>17</v>
      </c>
      <c r="L519" s="402"/>
      <c r="M519" s="630"/>
      <c r="N519" s="402"/>
      <c r="O519" s="930" t="s">
        <v>117</v>
      </c>
      <c r="P519" s="402"/>
      <c r="Q519" s="402" t="s">
        <v>17</v>
      </c>
      <c r="R519" s="402"/>
      <c r="S519" s="630"/>
      <c r="T519" s="402"/>
      <c r="U519" s="930" t="s">
        <v>117</v>
      </c>
      <c r="V519" s="402"/>
      <c r="W519" s="402" t="s">
        <v>17</v>
      </c>
      <c r="X519" s="402"/>
      <c r="Y519" s="630"/>
      <c r="Z519" s="402"/>
      <c r="AA519" s="930" t="s">
        <v>117</v>
      </c>
      <c r="AB519" s="402"/>
      <c r="AC519" s="402" t="s">
        <v>17</v>
      </c>
      <c r="AD519" s="402"/>
      <c r="AE519" s="630"/>
      <c r="AF519" s="402"/>
      <c r="AG519" s="930" t="s">
        <v>117</v>
      </c>
      <c r="AH519" s="402"/>
      <c r="AI519" s="402" t="s">
        <v>17</v>
      </c>
      <c r="AJ519" s="402"/>
      <c r="AK519" s="630"/>
      <c r="AL519" s="402"/>
      <c r="AM519" s="930" t="s">
        <v>117</v>
      </c>
      <c r="AN519" s="402"/>
      <c r="AO519" s="402" t="s">
        <v>17</v>
      </c>
      <c r="AP519" s="402"/>
      <c r="AQ519" s="634"/>
      <c r="AR519" s="606"/>
      <c r="AS519" s="394"/>
      <c r="AT519" s="393"/>
      <c r="AU519" s="395"/>
      <c r="AV519" s="278"/>
      <c r="AW519" s="278"/>
      <c r="AX519" s="278"/>
      <c r="AY519" s="278"/>
      <c r="AZ519" s="278"/>
      <c r="BA519" s="278"/>
      <c r="BB519" s="278"/>
      <c r="BC519" s="278"/>
      <c r="BD519" s="278"/>
    </row>
    <row r="520" spans="1:56">
      <c r="A520" s="933"/>
      <c r="B520" s="934"/>
      <c r="C520" s="934"/>
      <c r="D520" s="934"/>
      <c r="E520" s="934"/>
      <c r="F520" s="934"/>
      <c r="G520" s="934"/>
      <c r="H520" s="934"/>
      <c r="I520" s="930"/>
      <c r="J520" s="402"/>
      <c r="K520" s="402" t="s">
        <v>32</v>
      </c>
      <c r="L520" s="402"/>
      <c r="M520" s="630"/>
      <c r="N520" s="402"/>
      <c r="O520" s="930"/>
      <c r="P520" s="402"/>
      <c r="Q520" s="402" t="s">
        <v>32</v>
      </c>
      <c r="R520" s="402"/>
      <c r="S520" s="630"/>
      <c r="T520" s="402"/>
      <c r="U520" s="930"/>
      <c r="V520" s="402"/>
      <c r="W520" s="402" t="s">
        <v>32</v>
      </c>
      <c r="X520" s="402"/>
      <c r="Y520" s="630"/>
      <c r="Z520" s="402"/>
      <c r="AA520" s="930"/>
      <c r="AB520" s="402"/>
      <c r="AC520" s="402" t="s">
        <v>32</v>
      </c>
      <c r="AD520" s="402"/>
      <c r="AE520" s="630"/>
      <c r="AF520" s="402"/>
      <c r="AG520" s="930"/>
      <c r="AH520" s="402"/>
      <c r="AI520" s="402" t="s">
        <v>32</v>
      </c>
      <c r="AJ520" s="402"/>
      <c r="AK520" s="630"/>
      <c r="AL520" s="402"/>
      <c r="AM520" s="930"/>
      <c r="AN520" s="402"/>
      <c r="AO520" s="402" t="s">
        <v>32</v>
      </c>
      <c r="AP520" s="402"/>
      <c r="AQ520" s="634"/>
      <c r="AR520" s="606"/>
      <c r="AS520" s="394"/>
      <c r="AT520" s="393"/>
      <c r="AU520" s="395"/>
      <c r="AV520" s="278"/>
      <c r="AW520" s="278"/>
      <c r="AX520" s="278"/>
      <c r="AY520" s="278"/>
      <c r="AZ520" s="278"/>
      <c r="BA520" s="278"/>
      <c r="BB520" s="278"/>
      <c r="BC520" s="278"/>
      <c r="BD520" s="278"/>
    </row>
    <row r="521" spans="1:56">
      <c r="A521" s="933"/>
      <c r="B521" s="934"/>
      <c r="C521" s="934"/>
      <c r="D521" s="934"/>
      <c r="E521" s="934"/>
      <c r="F521" s="934"/>
      <c r="G521" s="934"/>
      <c r="H521" s="934"/>
      <c r="I521" s="951" t="s">
        <v>462</v>
      </c>
      <c r="J521" s="402"/>
      <c r="K521" s="402" t="s">
        <v>32</v>
      </c>
      <c r="L521" s="951"/>
      <c r="M521" s="630"/>
      <c r="N521" s="402"/>
      <c r="O521" s="951" t="s">
        <v>462</v>
      </c>
      <c r="P521" s="402"/>
      <c r="Q521" s="402" t="s">
        <v>32</v>
      </c>
      <c r="R521" s="951"/>
      <c r="S521" s="630"/>
      <c r="T521" s="402"/>
      <c r="U521" s="951" t="s">
        <v>462</v>
      </c>
      <c r="V521" s="402"/>
      <c r="W521" s="402" t="s">
        <v>32</v>
      </c>
      <c r="X521" s="951"/>
      <c r="Y521" s="630"/>
      <c r="Z521" s="402"/>
      <c r="AA521" s="951" t="s">
        <v>462</v>
      </c>
      <c r="AB521" s="402"/>
      <c r="AC521" s="402" t="s">
        <v>32</v>
      </c>
      <c r="AD521" s="951"/>
      <c r="AE521" s="630"/>
      <c r="AF521" s="402"/>
      <c r="AG521" s="951" t="s">
        <v>462</v>
      </c>
      <c r="AH521" s="402"/>
      <c r="AI521" s="402" t="s">
        <v>32</v>
      </c>
      <c r="AJ521" s="951"/>
      <c r="AK521" s="630"/>
      <c r="AL521" s="402"/>
      <c r="AM521" s="951" t="s">
        <v>462</v>
      </c>
      <c r="AN521" s="402"/>
      <c r="AO521" s="402" t="s">
        <v>32</v>
      </c>
      <c r="AP521" s="402"/>
      <c r="AQ521" s="634"/>
      <c r="AR521" s="606"/>
      <c r="AS521" s="394"/>
      <c r="AT521" s="393"/>
      <c r="AU521" s="395"/>
      <c r="AV521" s="278"/>
      <c r="AW521" s="278"/>
      <c r="AX521" s="278"/>
      <c r="AY521" s="278"/>
      <c r="AZ521" s="278"/>
      <c r="BA521" s="278"/>
      <c r="BB521" s="278"/>
      <c r="BC521" s="278"/>
      <c r="BD521" s="278"/>
    </row>
    <row r="522" spans="1:56">
      <c r="A522" s="933"/>
      <c r="B522" s="934"/>
      <c r="C522" s="934"/>
      <c r="D522" s="934"/>
      <c r="E522" s="934"/>
      <c r="F522" s="934"/>
      <c r="G522" s="934"/>
      <c r="H522" s="934"/>
      <c r="I522" s="951"/>
      <c r="J522" s="402"/>
      <c r="K522" s="402" t="s">
        <v>17</v>
      </c>
      <c r="L522" s="951"/>
      <c r="M522" s="630"/>
      <c r="N522" s="402"/>
      <c r="O522" s="951"/>
      <c r="P522" s="402"/>
      <c r="Q522" s="402" t="s">
        <v>17</v>
      </c>
      <c r="R522" s="951"/>
      <c r="S522" s="630"/>
      <c r="T522" s="402"/>
      <c r="U522" s="951"/>
      <c r="V522" s="402"/>
      <c r="W522" s="402" t="s">
        <v>17</v>
      </c>
      <c r="X522" s="951"/>
      <c r="Y522" s="630"/>
      <c r="Z522" s="402"/>
      <c r="AA522" s="951"/>
      <c r="AB522" s="402"/>
      <c r="AC522" s="402" t="s">
        <v>17</v>
      </c>
      <c r="AD522" s="951"/>
      <c r="AE522" s="630"/>
      <c r="AF522" s="402"/>
      <c r="AG522" s="951"/>
      <c r="AH522" s="402"/>
      <c r="AI522" s="402" t="s">
        <v>17</v>
      </c>
      <c r="AJ522" s="951"/>
      <c r="AK522" s="630"/>
      <c r="AL522" s="402"/>
      <c r="AM522" s="951"/>
      <c r="AN522" s="402"/>
      <c r="AO522" s="402" t="s">
        <v>17</v>
      </c>
      <c r="AP522" s="402"/>
      <c r="AQ522" s="634"/>
      <c r="AR522" s="606"/>
      <c r="AS522" s="394"/>
      <c r="AT522" s="393"/>
      <c r="AU522" s="395"/>
      <c r="AV522" s="278"/>
      <c r="AW522" s="278"/>
      <c r="AX522" s="278"/>
      <c r="AY522" s="278"/>
      <c r="AZ522" s="278"/>
      <c r="BA522" s="278"/>
      <c r="BB522" s="278"/>
      <c r="BC522" s="278"/>
      <c r="BD522" s="278"/>
    </row>
    <row r="523" spans="1:56" ht="42.75">
      <c r="A523" s="933"/>
      <c r="B523" s="934"/>
      <c r="C523" s="934"/>
      <c r="D523" s="934"/>
      <c r="E523" s="934"/>
      <c r="F523" s="934"/>
      <c r="G523" s="934"/>
      <c r="H523" s="934"/>
      <c r="I523" s="403" t="s">
        <v>120</v>
      </c>
      <c r="J523" s="402"/>
      <c r="K523" s="402" t="s">
        <v>118</v>
      </c>
      <c r="L523" s="402"/>
      <c r="M523" s="630"/>
      <c r="N523" s="402"/>
      <c r="O523" s="403" t="s">
        <v>120</v>
      </c>
      <c r="P523" s="402"/>
      <c r="Q523" s="402" t="s">
        <v>118</v>
      </c>
      <c r="R523" s="402"/>
      <c r="S523" s="630"/>
      <c r="T523" s="402"/>
      <c r="U523" s="403" t="s">
        <v>120</v>
      </c>
      <c r="V523" s="402"/>
      <c r="W523" s="402" t="s">
        <v>118</v>
      </c>
      <c r="X523" s="402"/>
      <c r="Y523" s="630"/>
      <c r="Z523" s="402"/>
      <c r="AA523" s="403" t="s">
        <v>120</v>
      </c>
      <c r="AB523" s="402"/>
      <c r="AC523" s="402" t="s">
        <v>118</v>
      </c>
      <c r="AD523" s="402"/>
      <c r="AE523" s="630"/>
      <c r="AF523" s="402"/>
      <c r="AG523" s="403" t="s">
        <v>120</v>
      </c>
      <c r="AH523" s="402"/>
      <c r="AI523" s="402" t="s">
        <v>118</v>
      </c>
      <c r="AJ523" s="402"/>
      <c r="AK523" s="630"/>
      <c r="AL523" s="402"/>
      <c r="AM523" s="403" t="s">
        <v>120</v>
      </c>
      <c r="AN523" s="402"/>
      <c r="AO523" s="402" t="s">
        <v>118</v>
      </c>
      <c r="AP523" s="402"/>
      <c r="AQ523" s="634"/>
      <c r="AR523" s="606"/>
      <c r="AS523" s="394"/>
      <c r="AT523" s="393"/>
      <c r="AU523" s="395"/>
      <c r="AV523" s="278"/>
      <c r="AW523" s="278"/>
      <c r="AX523" s="278"/>
      <c r="AY523" s="278"/>
      <c r="AZ523" s="278"/>
      <c r="BA523" s="278"/>
      <c r="BB523" s="278"/>
      <c r="BC523" s="278"/>
      <c r="BD523" s="278"/>
    </row>
    <row r="524" spans="1:56" ht="28.5">
      <c r="A524" s="933"/>
      <c r="B524" s="934"/>
      <c r="C524" s="934"/>
      <c r="D524" s="934"/>
      <c r="E524" s="934"/>
      <c r="F524" s="934"/>
      <c r="G524" s="934"/>
      <c r="H524" s="934"/>
      <c r="I524" s="403" t="s">
        <v>93</v>
      </c>
      <c r="J524" s="402"/>
      <c r="K524" s="402" t="s">
        <v>118</v>
      </c>
      <c r="L524" s="402"/>
      <c r="M524" s="630"/>
      <c r="N524" s="402"/>
      <c r="O524" s="403" t="s">
        <v>93</v>
      </c>
      <c r="P524" s="402"/>
      <c r="Q524" s="402" t="s">
        <v>118</v>
      </c>
      <c r="R524" s="402"/>
      <c r="S524" s="630"/>
      <c r="T524" s="402"/>
      <c r="U524" s="403" t="s">
        <v>93</v>
      </c>
      <c r="V524" s="402"/>
      <c r="W524" s="402" t="s">
        <v>118</v>
      </c>
      <c r="X524" s="402"/>
      <c r="Y524" s="630"/>
      <c r="Z524" s="402"/>
      <c r="AA524" s="403" t="s">
        <v>93</v>
      </c>
      <c r="AB524" s="402"/>
      <c r="AC524" s="402" t="s">
        <v>118</v>
      </c>
      <c r="AD524" s="402"/>
      <c r="AE524" s="630"/>
      <c r="AF524" s="402"/>
      <c r="AG524" s="403" t="s">
        <v>93</v>
      </c>
      <c r="AH524" s="402"/>
      <c r="AI524" s="402" t="s">
        <v>118</v>
      </c>
      <c r="AJ524" s="402"/>
      <c r="AK524" s="630"/>
      <c r="AL524" s="402"/>
      <c r="AM524" s="403" t="s">
        <v>93</v>
      </c>
      <c r="AN524" s="402"/>
      <c r="AO524" s="402" t="s">
        <v>118</v>
      </c>
      <c r="AP524" s="402"/>
      <c r="AQ524" s="634"/>
      <c r="AR524" s="606"/>
      <c r="AS524" s="394"/>
      <c r="AT524" s="393"/>
      <c r="AU524" s="395"/>
      <c r="AV524" s="278"/>
      <c r="AW524" s="278"/>
      <c r="AX524" s="278"/>
      <c r="AY524" s="278"/>
      <c r="AZ524" s="278"/>
      <c r="BA524" s="278"/>
      <c r="BB524" s="278"/>
      <c r="BC524" s="278"/>
      <c r="BD524" s="278"/>
    </row>
    <row r="525" spans="1:56" ht="42.75">
      <c r="A525" s="933"/>
      <c r="B525" s="934"/>
      <c r="C525" s="934"/>
      <c r="D525" s="934"/>
      <c r="E525" s="934"/>
      <c r="F525" s="934"/>
      <c r="G525" s="934"/>
      <c r="H525" s="934"/>
      <c r="I525" s="403" t="s">
        <v>463</v>
      </c>
      <c r="J525" s="402"/>
      <c r="K525" s="402" t="s">
        <v>2681</v>
      </c>
      <c r="L525" s="402"/>
      <c r="M525" s="630"/>
      <c r="N525" s="402"/>
      <c r="O525" s="403" t="s">
        <v>463</v>
      </c>
      <c r="P525" s="402"/>
      <c r="Q525" s="402" t="s">
        <v>2681</v>
      </c>
      <c r="R525" s="402"/>
      <c r="S525" s="630"/>
      <c r="T525" s="402"/>
      <c r="U525" s="403" t="s">
        <v>463</v>
      </c>
      <c r="V525" s="402"/>
      <c r="W525" s="402" t="s">
        <v>2681</v>
      </c>
      <c r="X525" s="402"/>
      <c r="Y525" s="630"/>
      <c r="Z525" s="402"/>
      <c r="AA525" s="403" t="s">
        <v>463</v>
      </c>
      <c r="AB525" s="402"/>
      <c r="AC525" s="402" t="s">
        <v>2681</v>
      </c>
      <c r="AD525" s="402"/>
      <c r="AE525" s="630"/>
      <c r="AF525" s="402"/>
      <c r="AG525" s="403" t="s">
        <v>463</v>
      </c>
      <c r="AH525" s="402"/>
      <c r="AI525" s="402" t="s">
        <v>2681</v>
      </c>
      <c r="AJ525" s="402"/>
      <c r="AK525" s="630"/>
      <c r="AL525" s="402"/>
      <c r="AM525" s="403" t="s">
        <v>463</v>
      </c>
      <c r="AN525" s="402"/>
      <c r="AO525" s="402" t="s">
        <v>2681</v>
      </c>
      <c r="AP525" s="402"/>
      <c r="AQ525" s="634"/>
      <c r="AR525" s="606"/>
      <c r="AS525" s="394"/>
      <c r="AT525" s="393"/>
      <c r="AU525" s="395"/>
      <c r="AV525" s="278"/>
      <c r="AW525" s="278"/>
      <c r="AX525" s="278"/>
      <c r="AY525" s="278"/>
      <c r="AZ525" s="278"/>
      <c r="BA525" s="278"/>
      <c r="BB525" s="278"/>
      <c r="BC525" s="278"/>
      <c r="BD525" s="278"/>
    </row>
    <row r="526" spans="1:56">
      <c r="A526" s="933"/>
      <c r="B526" s="934"/>
      <c r="C526" s="934"/>
      <c r="D526" s="934"/>
      <c r="E526" s="934"/>
      <c r="F526" s="934"/>
      <c r="G526" s="934"/>
      <c r="H526" s="934"/>
      <c r="I526" s="403" t="s">
        <v>464</v>
      </c>
      <c r="J526" s="402"/>
      <c r="K526" s="402" t="s">
        <v>32</v>
      </c>
      <c r="L526" s="402"/>
      <c r="M526" s="630"/>
      <c r="N526" s="402"/>
      <c r="O526" s="403" t="s">
        <v>464</v>
      </c>
      <c r="P526" s="402"/>
      <c r="Q526" s="402" t="s">
        <v>32</v>
      </c>
      <c r="R526" s="402"/>
      <c r="S526" s="630"/>
      <c r="T526" s="402"/>
      <c r="U526" s="403" t="s">
        <v>464</v>
      </c>
      <c r="V526" s="402"/>
      <c r="W526" s="402" t="s">
        <v>32</v>
      </c>
      <c r="X526" s="402"/>
      <c r="Y526" s="630"/>
      <c r="Z526" s="402"/>
      <c r="AA526" s="403" t="s">
        <v>464</v>
      </c>
      <c r="AB526" s="402"/>
      <c r="AC526" s="402" t="s">
        <v>32</v>
      </c>
      <c r="AD526" s="402"/>
      <c r="AE526" s="630"/>
      <c r="AF526" s="402"/>
      <c r="AG526" s="403" t="s">
        <v>464</v>
      </c>
      <c r="AH526" s="402"/>
      <c r="AI526" s="402" t="s">
        <v>32</v>
      </c>
      <c r="AJ526" s="402"/>
      <c r="AK526" s="630"/>
      <c r="AL526" s="402"/>
      <c r="AM526" s="403" t="s">
        <v>464</v>
      </c>
      <c r="AN526" s="402"/>
      <c r="AO526" s="402" t="s">
        <v>32</v>
      </c>
      <c r="AP526" s="402"/>
      <c r="AQ526" s="634"/>
      <c r="AR526" s="606"/>
      <c r="AS526" s="394"/>
      <c r="AT526" s="393"/>
      <c r="AU526" s="395"/>
      <c r="AV526" s="278"/>
      <c r="AW526" s="278"/>
      <c r="AX526" s="278"/>
      <c r="AY526" s="278"/>
      <c r="AZ526" s="278"/>
      <c r="BA526" s="278"/>
      <c r="BB526" s="278"/>
      <c r="BC526" s="278"/>
      <c r="BD526" s="278"/>
    </row>
    <row r="527" spans="1:56" ht="28.5">
      <c r="A527" s="933"/>
      <c r="B527" s="934"/>
      <c r="C527" s="934"/>
      <c r="D527" s="934"/>
      <c r="E527" s="934"/>
      <c r="F527" s="934"/>
      <c r="G527" s="934"/>
      <c r="H527" s="934"/>
      <c r="I527" s="403" t="s">
        <v>68</v>
      </c>
      <c r="J527" s="402"/>
      <c r="K527" s="402" t="s">
        <v>2681</v>
      </c>
      <c r="L527" s="402"/>
      <c r="M527" s="630"/>
      <c r="N527" s="402"/>
      <c r="O527" s="403" t="s">
        <v>68</v>
      </c>
      <c r="P527" s="402"/>
      <c r="Q527" s="402" t="s">
        <v>2681</v>
      </c>
      <c r="R527" s="402"/>
      <c r="S527" s="630"/>
      <c r="T527" s="402"/>
      <c r="U527" s="403" t="s">
        <v>68</v>
      </c>
      <c r="V527" s="402"/>
      <c r="W527" s="402" t="s">
        <v>2681</v>
      </c>
      <c r="X527" s="402"/>
      <c r="Y527" s="630"/>
      <c r="Z527" s="402"/>
      <c r="AA527" s="403" t="s">
        <v>68</v>
      </c>
      <c r="AB527" s="402"/>
      <c r="AC527" s="402" t="s">
        <v>2681</v>
      </c>
      <c r="AD527" s="402"/>
      <c r="AE527" s="630"/>
      <c r="AF527" s="402"/>
      <c r="AG527" s="403" t="s">
        <v>68</v>
      </c>
      <c r="AH527" s="402"/>
      <c r="AI527" s="402" t="s">
        <v>2681</v>
      </c>
      <c r="AJ527" s="402"/>
      <c r="AK527" s="630"/>
      <c r="AL527" s="402"/>
      <c r="AM527" s="403" t="s">
        <v>68</v>
      </c>
      <c r="AN527" s="402"/>
      <c r="AO527" s="402" t="s">
        <v>2681</v>
      </c>
      <c r="AP527" s="402"/>
      <c r="AQ527" s="634"/>
      <c r="AR527" s="606"/>
      <c r="AS527" s="394"/>
      <c r="AT527" s="393"/>
      <c r="AU527" s="395"/>
      <c r="AV527" s="278"/>
      <c r="AW527" s="278"/>
      <c r="AX527" s="278"/>
      <c r="AY527" s="278"/>
      <c r="AZ527" s="278"/>
      <c r="BA527" s="278"/>
      <c r="BB527" s="278"/>
      <c r="BC527" s="278"/>
      <c r="BD527" s="278"/>
    </row>
    <row r="528" spans="1:56" ht="42.75">
      <c r="A528" s="933"/>
      <c r="B528" s="934"/>
      <c r="C528" s="934"/>
      <c r="D528" s="934"/>
      <c r="E528" s="934"/>
      <c r="F528" s="934"/>
      <c r="G528" s="934"/>
      <c r="H528" s="934"/>
      <c r="I528" s="403" t="s">
        <v>465</v>
      </c>
      <c r="J528" s="402"/>
      <c r="K528" s="402" t="s">
        <v>2681</v>
      </c>
      <c r="L528" s="403"/>
      <c r="M528" s="630"/>
      <c r="N528" s="402"/>
      <c r="O528" s="403" t="s">
        <v>465</v>
      </c>
      <c r="P528" s="402"/>
      <c r="Q528" s="402" t="s">
        <v>2681</v>
      </c>
      <c r="R528" s="403"/>
      <c r="S528" s="630"/>
      <c r="T528" s="402"/>
      <c r="U528" s="403" t="s">
        <v>465</v>
      </c>
      <c r="V528" s="402"/>
      <c r="W528" s="402" t="s">
        <v>2681</v>
      </c>
      <c r="X528" s="403"/>
      <c r="Y528" s="630"/>
      <c r="Z528" s="402"/>
      <c r="AA528" s="403" t="s">
        <v>465</v>
      </c>
      <c r="AB528" s="402"/>
      <c r="AC528" s="402" t="s">
        <v>2681</v>
      </c>
      <c r="AD528" s="403"/>
      <c r="AE528" s="630"/>
      <c r="AF528" s="402"/>
      <c r="AG528" s="403" t="s">
        <v>465</v>
      </c>
      <c r="AH528" s="402"/>
      <c r="AI528" s="402" t="s">
        <v>2681</v>
      </c>
      <c r="AJ528" s="403"/>
      <c r="AK528" s="630"/>
      <c r="AL528" s="402"/>
      <c r="AM528" s="403" t="s">
        <v>465</v>
      </c>
      <c r="AN528" s="402"/>
      <c r="AO528" s="402" t="s">
        <v>2681</v>
      </c>
      <c r="AP528" s="403"/>
      <c r="AQ528" s="634"/>
      <c r="AR528" s="606"/>
      <c r="AS528" s="394"/>
      <c r="AT528" s="393"/>
      <c r="AU528" s="395"/>
      <c r="AV528" s="278"/>
      <c r="AW528" s="278"/>
      <c r="AX528" s="278"/>
      <c r="AY528" s="278"/>
      <c r="AZ528" s="278"/>
      <c r="BA528" s="278"/>
      <c r="BB528" s="278"/>
      <c r="BC528" s="278"/>
      <c r="BD528" s="278"/>
    </row>
    <row r="529" spans="1:56" ht="28.5">
      <c r="A529" s="933"/>
      <c r="B529" s="934"/>
      <c r="C529" s="934"/>
      <c r="D529" s="934"/>
      <c r="E529" s="934"/>
      <c r="F529" s="934"/>
      <c r="G529" s="934"/>
      <c r="H529" s="934"/>
      <c r="I529" s="403" t="s">
        <v>112</v>
      </c>
      <c r="J529" s="402"/>
      <c r="K529" s="402" t="s">
        <v>32</v>
      </c>
      <c r="L529" s="403"/>
      <c r="M529" s="630"/>
      <c r="N529" s="402"/>
      <c r="O529" s="403" t="s">
        <v>112</v>
      </c>
      <c r="P529" s="402"/>
      <c r="Q529" s="402" t="s">
        <v>32</v>
      </c>
      <c r="R529" s="403"/>
      <c r="S529" s="630"/>
      <c r="T529" s="402"/>
      <c r="U529" s="403" t="s">
        <v>112</v>
      </c>
      <c r="V529" s="402"/>
      <c r="W529" s="402" t="s">
        <v>32</v>
      </c>
      <c r="X529" s="403"/>
      <c r="Y529" s="630"/>
      <c r="Z529" s="402"/>
      <c r="AA529" s="403" t="s">
        <v>112</v>
      </c>
      <c r="AB529" s="402"/>
      <c r="AC529" s="402" t="s">
        <v>32</v>
      </c>
      <c r="AD529" s="403"/>
      <c r="AE529" s="630"/>
      <c r="AF529" s="402"/>
      <c r="AG529" s="403" t="s">
        <v>112</v>
      </c>
      <c r="AH529" s="402"/>
      <c r="AI529" s="402" t="s">
        <v>32</v>
      </c>
      <c r="AJ529" s="403"/>
      <c r="AK529" s="630"/>
      <c r="AL529" s="402"/>
      <c r="AM529" s="403" t="s">
        <v>112</v>
      </c>
      <c r="AN529" s="402"/>
      <c r="AO529" s="402" t="s">
        <v>32</v>
      </c>
      <c r="AP529" s="403"/>
      <c r="AQ529" s="634"/>
      <c r="AR529" s="606"/>
      <c r="AS529" s="394"/>
      <c r="AT529" s="393"/>
      <c r="AU529" s="395"/>
      <c r="AV529" s="278"/>
      <c r="AW529" s="278"/>
      <c r="AX529" s="278"/>
      <c r="AY529" s="278"/>
      <c r="AZ529" s="278"/>
      <c r="BA529" s="278"/>
      <c r="BB529" s="278"/>
      <c r="BC529" s="278"/>
      <c r="BD529" s="278"/>
    </row>
    <row r="530" spans="1:56" ht="42.75">
      <c r="A530" s="933"/>
      <c r="B530" s="934"/>
      <c r="C530" s="934"/>
      <c r="D530" s="934"/>
      <c r="E530" s="934"/>
      <c r="F530" s="934"/>
      <c r="G530" s="934"/>
      <c r="H530" s="934"/>
      <c r="I530" s="403" t="s">
        <v>466</v>
      </c>
      <c r="J530" s="402"/>
      <c r="K530" s="402" t="s">
        <v>32</v>
      </c>
      <c r="L530" s="403"/>
      <c r="M530" s="630"/>
      <c r="N530" s="402"/>
      <c r="O530" s="403" t="s">
        <v>466</v>
      </c>
      <c r="P530" s="402"/>
      <c r="Q530" s="402" t="s">
        <v>32</v>
      </c>
      <c r="R530" s="403"/>
      <c r="S530" s="630"/>
      <c r="T530" s="402"/>
      <c r="U530" s="403" t="s">
        <v>466</v>
      </c>
      <c r="V530" s="402"/>
      <c r="W530" s="402" t="s">
        <v>32</v>
      </c>
      <c r="X530" s="403"/>
      <c r="Y530" s="630"/>
      <c r="Z530" s="402"/>
      <c r="AA530" s="403" t="s">
        <v>466</v>
      </c>
      <c r="AB530" s="402"/>
      <c r="AC530" s="402" t="s">
        <v>32</v>
      </c>
      <c r="AD530" s="403"/>
      <c r="AE530" s="630"/>
      <c r="AF530" s="402"/>
      <c r="AG530" s="403" t="s">
        <v>466</v>
      </c>
      <c r="AH530" s="402"/>
      <c r="AI530" s="402" t="s">
        <v>32</v>
      </c>
      <c r="AJ530" s="403"/>
      <c r="AK530" s="630"/>
      <c r="AL530" s="402"/>
      <c r="AM530" s="403" t="s">
        <v>466</v>
      </c>
      <c r="AN530" s="402"/>
      <c r="AO530" s="402" t="s">
        <v>32</v>
      </c>
      <c r="AP530" s="403"/>
      <c r="AQ530" s="634"/>
      <c r="AR530" s="606"/>
      <c r="AS530" s="394"/>
      <c r="AT530" s="393"/>
      <c r="AU530" s="395"/>
      <c r="AV530" s="278"/>
      <c r="AW530" s="278"/>
      <c r="AX530" s="278"/>
      <c r="AY530" s="278"/>
      <c r="AZ530" s="278"/>
      <c r="BA530" s="278"/>
      <c r="BB530" s="278"/>
      <c r="BC530" s="278"/>
      <c r="BD530" s="278"/>
    </row>
    <row r="531" spans="1:56" ht="42.75">
      <c r="A531" s="933"/>
      <c r="B531" s="934"/>
      <c r="C531" s="934"/>
      <c r="D531" s="934"/>
      <c r="E531" s="934"/>
      <c r="F531" s="934"/>
      <c r="G531" s="934"/>
      <c r="H531" s="934"/>
      <c r="I531" s="403" t="s">
        <v>467</v>
      </c>
      <c r="J531" s="402"/>
      <c r="K531" s="402" t="s">
        <v>32</v>
      </c>
      <c r="L531" s="403"/>
      <c r="M531" s="630"/>
      <c r="N531" s="402"/>
      <c r="O531" s="403" t="s">
        <v>467</v>
      </c>
      <c r="P531" s="402"/>
      <c r="Q531" s="402" t="s">
        <v>32</v>
      </c>
      <c r="R531" s="403"/>
      <c r="S531" s="630"/>
      <c r="T531" s="402"/>
      <c r="U531" s="403" t="s">
        <v>467</v>
      </c>
      <c r="V531" s="402"/>
      <c r="W531" s="402" t="s">
        <v>32</v>
      </c>
      <c r="X531" s="403"/>
      <c r="Y531" s="630"/>
      <c r="Z531" s="402"/>
      <c r="AA531" s="403" t="s">
        <v>467</v>
      </c>
      <c r="AB531" s="402"/>
      <c r="AC531" s="402" t="s">
        <v>32</v>
      </c>
      <c r="AD531" s="403"/>
      <c r="AE531" s="630"/>
      <c r="AF531" s="402"/>
      <c r="AG531" s="403" t="s">
        <v>467</v>
      </c>
      <c r="AH531" s="402"/>
      <c r="AI531" s="402" t="s">
        <v>32</v>
      </c>
      <c r="AJ531" s="403"/>
      <c r="AK531" s="630"/>
      <c r="AL531" s="402"/>
      <c r="AM531" s="403" t="s">
        <v>467</v>
      </c>
      <c r="AN531" s="402"/>
      <c r="AO531" s="402" t="s">
        <v>32</v>
      </c>
      <c r="AP531" s="403"/>
      <c r="AQ531" s="634"/>
      <c r="AR531" s="606"/>
      <c r="AS531" s="394"/>
      <c r="AT531" s="393"/>
      <c r="AU531" s="395"/>
      <c r="AV531" s="278"/>
      <c r="AW531" s="278"/>
      <c r="AX531" s="278"/>
      <c r="AY531" s="278"/>
      <c r="AZ531" s="278"/>
      <c r="BA531" s="278"/>
      <c r="BB531" s="278"/>
      <c r="BC531" s="278"/>
      <c r="BD531" s="278"/>
    </row>
    <row r="532" spans="1:56" ht="42.75">
      <c r="A532" s="933"/>
      <c r="B532" s="934"/>
      <c r="C532" s="934"/>
      <c r="D532" s="934"/>
      <c r="E532" s="934"/>
      <c r="F532" s="934"/>
      <c r="G532" s="934"/>
      <c r="H532" s="934"/>
      <c r="I532" s="403" t="s">
        <v>468</v>
      </c>
      <c r="J532" s="402"/>
      <c r="K532" s="402" t="s">
        <v>118</v>
      </c>
      <c r="L532" s="403"/>
      <c r="M532" s="630"/>
      <c r="N532" s="402"/>
      <c r="O532" s="403" t="s">
        <v>468</v>
      </c>
      <c r="P532" s="402"/>
      <c r="Q532" s="402" t="s">
        <v>118</v>
      </c>
      <c r="R532" s="403"/>
      <c r="S532" s="630"/>
      <c r="T532" s="402"/>
      <c r="U532" s="403" t="s">
        <v>468</v>
      </c>
      <c r="V532" s="402"/>
      <c r="W532" s="402" t="s">
        <v>118</v>
      </c>
      <c r="X532" s="403"/>
      <c r="Y532" s="630"/>
      <c r="Z532" s="402"/>
      <c r="AA532" s="403" t="s">
        <v>468</v>
      </c>
      <c r="AB532" s="402"/>
      <c r="AC532" s="402" t="s">
        <v>118</v>
      </c>
      <c r="AD532" s="403"/>
      <c r="AE532" s="630"/>
      <c r="AF532" s="402"/>
      <c r="AG532" s="403" t="s">
        <v>468</v>
      </c>
      <c r="AH532" s="402"/>
      <c r="AI532" s="402" t="s">
        <v>118</v>
      </c>
      <c r="AJ532" s="403"/>
      <c r="AK532" s="630"/>
      <c r="AL532" s="402"/>
      <c r="AM532" s="403" t="s">
        <v>468</v>
      </c>
      <c r="AN532" s="402"/>
      <c r="AO532" s="402" t="s">
        <v>118</v>
      </c>
      <c r="AP532" s="403"/>
      <c r="AQ532" s="634"/>
      <c r="AR532" s="606"/>
      <c r="AS532" s="394"/>
      <c r="AT532" s="393"/>
      <c r="AU532" s="395"/>
      <c r="AV532" s="278"/>
      <c r="AW532" s="278"/>
      <c r="AX532" s="278"/>
      <c r="AY532" s="278"/>
      <c r="AZ532" s="278"/>
      <c r="BA532" s="278"/>
      <c r="BB532" s="278"/>
      <c r="BC532" s="278"/>
      <c r="BD532" s="278"/>
    </row>
    <row r="533" spans="1:56" ht="42.75">
      <c r="A533" s="933"/>
      <c r="B533" s="934"/>
      <c r="C533" s="934"/>
      <c r="D533" s="934"/>
      <c r="E533" s="934"/>
      <c r="F533" s="934"/>
      <c r="G533" s="934"/>
      <c r="H533" s="934"/>
      <c r="I533" s="403" t="s">
        <v>469</v>
      </c>
      <c r="J533" s="402"/>
      <c r="K533" s="402" t="s">
        <v>2681</v>
      </c>
      <c r="L533" s="403"/>
      <c r="M533" s="630"/>
      <c r="N533" s="402"/>
      <c r="O533" s="403" t="s">
        <v>469</v>
      </c>
      <c r="P533" s="402"/>
      <c r="Q533" s="402" t="s">
        <v>2681</v>
      </c>
      <c r="R533" s="403"/>
      <c r="S533" s="630"/>
      <c r="T533" s="402"/>
      <c r="U533" s="403" t="s">
        <v>469</v>
      </c>
      <c r="V533" s="402"/>
      <c r="W533" s="402" t="s">
        <v>2681</v>
      </c>
      <c r="X533" s="403"/>
      <c r="Y533" s="630"/>
      <c r="Z533" s="402"/>
      <c r="AA533" s="403" t="s">
        <v>469</v>
      </c>
      <c r="AB533" s="402"/>
      <c r="AC533" s="402" t="s">
        <v>2681</v>
      </c>
      <c r="AD533" s="403"/>
      <c r="AE533" s="630"/>
      <c r="AF533" s="402"/>
      <c r="AG533" s="403" t="s">
        <v>469</v>
      </c>
      <c r="AH533" s="402"/>
      <c r="AI533" s="402" t="s">
        <v>2681</v>
      </c>
      <c r="AJ533" s="403"/>
      <c r="AK533" s="630"/>
      <c r="AL533" s="402"/>
      <c r="AM533" s="403" t="s">
        <v>469</v>
      </c>
      <c r="AN533" s="402"/>
      <c r="AO533" s="402" t="s">
        <v>2681</v>
      </c>
      <c r="AP533" s="403"/>
      <c r="AQ533" s="634"/>
      <c r="AR533" s="606"/>
      <c r="AS533" s="394"/>
      <c r="AT533" s="393"/>
      <c r="AU533" s="395"/>
      <c r="AV533" s="278"/>
      <c r="AW533" s="278"/>
      <c r="AX533" s="278"/>
      <c r="AY533" s="278"/>
      <c r="AZ533" s="278"/>
      <c r="BA533" s="278"/>
      <c r="BB533" s="278"/>
      <c r="BC533" s="278"/>
      <c r="BD533" s="278"/>
    </row>
    <row r="534" spans="1:56" ht="71.25">
      <c r="A534" s="933"/>
      <c r="B534" s="934"/>
      <c r="C534" s="934"/>
      <c r="D534" s="934"/>
      <c r="E534" s="934"/>
      <c r="F534" s="934"/>
      <c r="G534" s="934"/>
      <c r="H534" s="934"/>
      <c r="I534" s="403" t="s">
        <v>470</v>
      </c>
      <c r="J534" s="402"/>
      <c r="K534" s="402" t="s">
        <v>118</v>
      </c>
      <c r="L534" s="403"/>
      <c r="M534" s="630"/>
      <c r="N534" s="402"/>
      <c r="O534" s="403" t="s">
        <v>470</v>
      </c>
      <c r="P534" s="402"/>
      <c r="Q534" s="402" t="s">
        <v>118</v>
      </c>
      <c r="R534" s="403"/>
      <c r="S534" s="630"/>
      <c r="T534" s="402"/>
      <c r="U534" s="403" t="s">
        <v>470</v>
      </c>
      <c r="V534" s="402"/>
      <c r="W534" s="402" t="s">
        <v>118</v>
      </c>
      <c r="X534" s="403"/>
      <c r="Y534" s="630"/>
      <c r="Z534" s="402"/>
      <c r="AA534" s="403" t="s">
        <v>470</v>
      </c>
      <c r="AB534" s="402"/>
      <c r="AC534" s="402" t="s">
        <v>118</v>
      </c>
      <c r="AD534" s="403"/>
      <c r="AE534" s="630"/>
      <c r="AF534" s="402"/>
      <c r="AG534" s="403" t="s">
        <v>470</v>
      </c>
      <c r="AH534" s="402"/>
      <c r="AI534" s="402" t="s">
        <v>118</v>
      </c>
      <c r="AJ534" s="403"/>
      <c r="AK534" s="630"/>
      <c r="AL534" s="402"/>
      <c r="AM534" s="403" t="s">
        <v>470</v>
      </c>
      <c r="AN534" s="402"/>
      <c r="AO534" s="402" t="s">
        <v>118</v>
      </c>
      <c r="AP534" s="403"/>
      <c r="AQ534" s="634"/>
      <c r="AR534" s="606"/>
      <c r="AS534" s="394"/>
      <c r="AT534" s="393"/>
      <c r="AU534" s="395"/>
      <c r="AV534" s="278"/>
      <c r="AW534" s="278"/>
      <c r="AX534" s="278"/>
      <c r="AY534" s="278"/>
      <c r="AZ534" s="278"/>
      <c r="BA534" s="278"/>
      <c r="BB534" s="278"/>
      <c r="BC534" s="278"/>
      <c r="BD534" s="278"/>
    </row>
    <row r="535" spans="1:56">
      <c r="A535" s="933"/>
      <c r="B535" s="934"/>
      <c r="C535" s="934"/>
      <c r="D535" s="934"/>
      <c r="E535" s="934"/>
      <c r="F535" s="934"/>
      <c r="G535" s="934"/>
      <c r="H535" s="934"/>
      <c r="I535" s="403" t="s">
        <v>471</v>
      </c>
      <c r="J535" s="402"/>
      <c r="K535" s="402"/>
      <c r="L535" s="403"/>
      <c r="M535" s="630"/>
      <c r="N535" s="402"/>
      <c r="O535" s="403" t="s">
        <v>471</v>
      </c>
      <c r="P535" s="402"/>
      <c r="Q535" s="402"/>
      <c r="R535" s="403"/>
      <c r="S535" s="630"/>
      <c r="T535" s="402"/>
      <c r="U535" s="403" t="s">
        <v>471</v>
      </c>
      <c r="V535" s="402"/>
      <c r="W535" s="402"/>
      <c r="X535" s="403"/>
      <c r="Y535" s="630"/>
      <c r="Z535" s="402"/>
      <c r="AA535" s="403" t="s">
        <v>471</v>
      </c>
      <c r="AB535" s="402"/>
      <c r="AC535" s="402"/>
      <c r="AD535" s="403"/>
      <c r="AE535" s="630"/>
      <c r="AF535" s="402"/>
      <c r="AG535" s="403" t="s">
        <v>471</v>
      </c>
      <c r="AH535" s="402"/>
      <c r="AI535" s="402"/>
      <c r="AJ535" s="403"/>
      <c r="AK535" s="630"/>
      <c r="AL535" s="402"/>
      <c r="AM535" s="403" t="s">
        <v>471</v>
      </c>
      <c r="AN535" s="402"/>
      <c r="AO535" s="402"/>
      <c r="AP535" s="403"/>
      <c r="AQ535" s="634"/>
      <c r="AR535" s="606"/>
      <c r="AS535" s="394"/>
      <c r="AT535" s="393"/>
      <c r="AU535" s="395"/>
      <c r="AV535" s="278"/>
      <c r="AW535" s="278"/>
      <c r="AX535" s="278"/>
      <c r="AY535" s="278"/>
      <c r="AZ535" s="278"/>
      <c r="BA535" s="278"/>
      <c r="BB535" s="278"/>
      <c r="BC535" s="278"/>
      <c r="BD535" s="278"/>
    </row>
    <row r="536" spans="1:56" ht="39.75" customHeight="1">
      <c r="A536" s="931" t="s">
        <v>3253</v>
      </c>
      <c r="B536" s="932"/>
      <c r="C536" s="932"/>
      <c r="D536" s="932"/>
      <c r="E536" s="400"/>
      <c r="F536" s="400"/>
      <c r="G536" s="400"/>
      <c r="H536" s="400"/>
      <c r="I536" s="400"/>
      <c r="J536" s="400"/>
      <c r="K536" s="400"/>
      <c r="L536" s="400"/>
      <c r="M536" s="400"/>
      <c r="N536" s="400"/>
      <c r="O536" s="400"/>
      <c r="P536" s="400"/>
      <c r="Q536" s="400"/>
      <c r="R536" s="400"/>
      <c r="S536" s="400"/>
      <c r="T536" s="400"/>
      <c r="U536" s="400"/>
      <c r="V536" s="400"/>
      <c r="W536" s="400"/>
      <c r="X536" s="400"/>
      <c r="Y536" s="400"/>
      <c r="Z536" s="400"/>
      <c r="AA536" s="400"/>
      <c r="AB536" s="400"/>
      <c r="AC536" s="400"/>
      <c r="AD536" s="400"/>
      <c r="AE536" s="400"/>
      <c r="AF536" s="400"/>
      <c r="AG536" s="400"/>
      <c r="AH536" s="400"/>
      <c r="AI536" s="400"/>
      <c r="AJ536" s="400"/>
      <c r="AK536" s="400"/>
      <c r="AL536" s="400"/>
      <c r="AM536" s="400"/>
      <c r="AN536" s="400"/>
      <c r="AO536" s="400"/>
      <c r="AP536" s="400"/>
      <c r="AQ536" s="634"/>
      <c r="AR536" s="606"/>
      <c r="AS536" s="394"/>
      <c r="AT536" s="393"/>
      <c r="AU536" s="395"/>
      <c r="AV536" s="278"/>
      <c r="AW536" s="278"/>
      <c r="AX536" s="278"/>
      <c r="AY536" s="278"/>
      <c r="AZ536" s="278"/>
      <c r="BA536" s="278"/>
      <c r="BB536" s="278"/>
      <c r="BC536" s="278"/>
      <c r="BD536" s="278"/>
    </row>
    <row r="537" spans="1:56">
      <c r="A537" s="933" t="s">
        <v>3254</v>
      </c>
      <c r="B537" s="934"/>
      <c r="C537" s="934"/>
      <c r="D537" s="934"/>
      <c r="E537" s="934"/>
      <c r="F537" s="934"/>
      <c r="G537" s="934"/>
      <c r="H537" s="934"/>
      <c r="I537" s="930" t="s">
        <v>114</v>
      </c>
      <c r="J537" s="402"/>
      <c r="K537" s="402" t="s">
        <v>17</v>
      </c>
      <c r="L537" s="402"/>
      <c r="M537" s="630"/>
      <c r="N537" s="402"/>
      <c r="O537" s="930" t="s">
        <v>114</v>
      </c>
      <c r="P537" s="402"/>
      <c r="Q537" s="402" t="s">
        <v>17</v>
      </c>
      <c r="R537" s="402"/>
      <c r="S537" s="630"/>
      <c r="T537" s="402"/>
      <c r="U537" s="930" t="s">
        <v>114</v>
      </c>
      <c r="V537" s="402"/>
      <c r="W537" s="402" t="s">
        <v>17</v>
      </c>
      <c r="X537" s="402"/>
      <c r="Y537" s="630"/>
      <c r="Z537" s="402"/>
      <c r="AA537" s="930" t="s">
        <v>114</v>
      </c>
      <c r="AB537" s="402"/>
      <c r="AC537" s="402" t="s">
        <v>17</v>
      </c>
      <c r="AD537" s="402"/>
      <c r="AE537" s="630"/>
      <c r="AF537" s="402"/>
      <c r="AG537" s="930" t="s">
        <v>114</v>
      </c>
      <c r="AH537" s="402"/>
      <c r="AI537" s="402" t="s">
        <v>17</v>
      </c>
      <c r="AJ537" s="402"/>
      <c r="AK537" s="630"/>
      <c r="AL537" s="402"/>
      <c r="AM537" s="930" t="s">
        <v>114</v>
      </c>
      <c r="AN537" s="402"/>
      <c r="AO537" s="402" t="s">
        <v>17</v>
      </c>
      <c r="AP537" s="402"/>
      <c r="AQ537" s="634"/>
      <c r="AR537" s="606"/>
      <c r="AS537" s="394"/>
      <c r="AT537" s="393"/>
      <c r="AU537" s="395"/>
      <c r="AV537" s="278"/>
      <c r="AW537" s="278"/>
      <c r="AX537" s="278"/>
      <c r="AY537" s="278"/>
      <c r="AZ537" s="278"/>
      <c r="BA537" s="278"/>
      <c r="BB537" s="278"/>
      <c r="BC537" s="278"/>
      <c r="BD537" s="278"/>
    </row>
    <row r="538" spans="1:56">
      <c r="A538" s="933"/>
      <c r="B538" s="934"/>
      <c r="C538" s="934"/>
      <c r="D538" s="934"/>
      <c r="E538" s="934"/>
      <c r="F538" s="934"/>
      <c r="G538" s="934"/>
      <c r="H538" s="934"/>
      <c r="I538" s="930"/>
      <c r="J538" s="402"/>
      <c r="K538" s="402" t="s">
        <v>32</v>
      </c>
      <c r="L538" s="402"/>
      <c r="M538" s="630"/>
      <c r="N538" s="402"/>
      <c r="O538" s="930"/>
      <c r="P538" s="402"/>
      <c r="Q538" s="402" t="s">
        <v>32</v>
      </c>
      <c r="R538" s="402"/>
      <c r="S538" s="630"/>
      <c r="T538" s="402"/>
      <c r="U538" s="930"/>
      <c r="V538" s="402"/>
      <c r="W538" s="402" t="s">
        <v>32</v>
      </c>
      <c r="X538" s="402"/>
      <c r="Y538" s="630"/>
      <c r="Z538" s="402"/>
      <c r="AA538" s="930"/>
      <c r="AB538" s="402"/>
      <c r="AC538" s="402" t="s">
        <v>32</v>
      </c>
      <c r="AD538" s="402"/>
      <c r="AE538" s="630"/>
      <c r="AF538" s="402"/>
      <c r="AG538" s="930"/>
      <c r="AH538" s="402"/>
      <c r="AI538" s="402" t="s">
        <v>32</v>
      </c>
      <c r="AJ538" s="402"/>
      <c r="AK538" s="630"/>
      <c r="AL538" s="402"/>
      <c r="AM538" s="930"/>
      <c r="AN538" s="402"/>
      <c r="AO538" s="402" t="s">
        <v>32</v>
      </c>
      <c r="AP538" s="402"/>
      <c r="AQ538" s="634"/>
      <c r="AR538" s="606"/>
      <c r="AS538" s="394"/>
      <c r="AT538" s="393"/>
      <c r="AU538" s="395"/>
      <c r="AV538" s="278"/>
      <c r="AW538" s="278"/>
      <c r="AX538" s="278"/>
      <c r="AY538" s="278"/>
      <c r="AZ538" s="278"/>
      <c r="BA538" s="278"/>
      <c r="BB538" s="278"/>
      <c r="BC538" s="278"/>
      <c r="BD538" s="278"/>
    </row>
    <row r="539" spans="1:56" ht="12" customHeight="1">
      <c r="A539" s="933"/>
      <c r="B539" s="934"/>
      <c r="C539" s="934"/>
      <c r="D539" s="934"/>
      <c r="E539" s="934"/>
      <c r="F539" s="934"/>
      <c r="G539" s="934"/>
      <c r="H539" s="934"/>
      <c r="I539" s="930" t="s">
        <v>115</v>
      </c>
      <c r="J539" s="402"/>
      <c r="K539" s="402" t="s">
        <v>17</v>
      </c>
      <c r="L539" s="402"/>
      <c r="M539" s="630"/>
      <c r="N539" s="402"/>
      <c r="O539" s="930" t="s">
        <v>115</v>
      </c>
      <c r="P539" s="402"/>
      <c r="Q539" s="402" t="s">
        <v>17</v>
      </c>
      <c r="R539" s="402"/>
      <c r="S539" s="630"/>
      <c r="T539" s="402"/>
      <c r="U539" s="930" t="s">
        <v>115</v>
      </c>
      <c r="V539" s="402"/>
      <c r="W539" s="402" t="s">
        <v>17</v>
      </c>
      <c r="X539" s="402"/>
      <c r="Y539" s="630"/>
      <c r="Z539" s="402"/>
      <c r="AA539" s="930" t="s">
        <v>115</v>
      </c>
      <c r="AB539" s="402"/>
      <c r="AC539" s="402" t="s">
        <v>17</v>
      </c>
      <c r="AD539" s="402"/>
      <c r="AE539" s="630"/>
      <c r="AF539" s="402"/>
      <c r="AG539" s="930" t="s">
        <v>115</v>
      </c>
      <c r="AH539" s="402"/>
      <c r="AI539" s="402" t="s">
        <v>17</v>
      </c>
      <c r="AJ539" s="402"/>
      <c r="AK539" s="630"/>
      <c r="AL539" s="402"/>
      <c r="AM539" s="930" t="s">
        <v>115</v>
      </c>
      <c r="AN539" s="402"/>
      <c r="AO539" s="402" t="s">
        <v>17</v>
      </c>
      <c r="AP539" s="402"/>
      <c r="AQ539" s="634"/>
      <c r="AR539" s="606"/>
      <c r="AS539" s="394"/>
      <c r="AT539" s="393"/>
      <c r="AU539" s="395"/>
      <c r="AV539" s="278"/>
      <c r="AW539" s="278"/>
      <c r="AX539" s="278"/>
      <c r="AY539" s="278"/>
      <c r="AZ539" s="278"/>
      <c r="BA539" s="278"/>
      <c r="BB539" s="278"/>
      <c r="BC539" s="278"/>
      <c r="BD539" s="278"/>
    </row>
    <row r="540" spans="1:56" ht="12" customHeight="1">
      <c r="A540" s="933"/>
      <c r="B540" s="934"/>
      <c r="C540" s="934"/>
      <c r="D540" s="934"/>
      <c r="E540" s="934"/>
      <c r="F540" s="934"/>
      <c r="G540" s="934"/>
      <c r="H540" s="934"/>
      <c r="I540" s="930"/>
      <c r="J540" s="402"/>
      <c r="K540" s="402" t="s">
        <v>32</v>
      </c>
      <c r="L540" s="402"/>
      <c r="M540" s="630"/>
      <c r="N540" s="402"/>
      <c r="O540" s="930"/>
      <c r="P540" s="402"/>
      <c r="Q540" s="402" t="s">
        <v>32</v>
      </c>
      <c r="R540" s="402"/>
      <c r="S540" s="630"/>
      <c r="T540" s="402"/>
      <c r="U540" s="930"/>
      <c r="V540" s="402"/>
      <c r="W540" s="402" t="s">
        <v>32</v>
      </c>
      <c r="X540" s="402"/>
      <c r="Y540" s="630"/>
      <c r="Z540" s="402"/>
      <c r="AA540" s="930"/>
      <c r="AB540" s="402"/>
      <c r="AC540" s="402" t="s">
        <v>32</v>
      </c>
      <c r="AD540" s="402"/>
      <c r="AE540" s="630"/>
      <c r="AF540" s="402"/>
      <c r="AG540" s="930"/>
      <c r="AH540" s="402"/>
      <c r="AI540" s="402" t="s">
        <v>32</v>
      </c>
      <c r="AJ540" s="402"/>
      <c r="AK540" s="630"/>
      <c r="AL540" s="402"/>
      <c r="AM540" s="930"/>
      <c r="AN540" s="402"/>
      <c r="AO540" s="402" t="s">
        <v>32</v>
      </c>
      <c r="AP540" s="402"/>
      <c r="AQ540" s="634"/>
      <c r="AR540" s="606"/>
      <c r="AS540" s="394"/>
      <c r="AT540" s="393"/>
      <c r="AU540" s="395"/>
      <c r="AV540" s="278"/>
      <c r="AW540" s="278"/>
      <c r="AX540" s="278"/>
      <c r="AY540" s="278"/>
      <c r="AZ540" s="278"/>
      <c r="BA540" s="278"/>
      <c r="BB540" s="278"/>
      <c r="BC540" s="278"/>
      <c r="BD540" s="278"/>
    </row>
    <row r="541" spans="1:56" ht="12" customHeight="1">
      <c r="A541" s="933"/>
      <c r="B541" s="934"/>
      <c r="C541" s="934"/>
      <c r="D541" s="934"/>
      <c r="E541" s="934"/>
      <c r="F541" s="934"/>
      <c r="G541" s="934"/>
      <c r="H541" s="934"/>
      <c r="I541" s="930" t="s">
        <v>116</v>
      </c>
      <c r="J541" s="402"/>
      <c r="K541" s="402" t="s">
        <v>17</v>
      </c>
      <c r="L541" s="402"/>
      <c r="M541" s="630"/>
      <c r="N541" s="402"/>
      <c r="O541" s="930" t="s">
        <v>116</v>
      </c>
      <c r="P541" s="402"/>
      <c r="Q541" s="402" t="s">
        <v>17</v>
      </c>
      <c r="R541" s="402"/>
      <c r="S541" s="630"/>
      <c r="T541" s="402"/>
      <c r="U541" s="930" t="s">
        <v>116</v>
      </c>
      <c r="V541" s="402"/>
      <c r="W541" s="402" t="s">
        <v>17</v>
      </c>
      <c r="X541" s="402"/>
      <c r="Y541" s="630"/>
      <c r="Z541" s="402"/>
      <c r="AA541" s="930" t="s">
        <v>116</v>
      </c>
      <c r="AB541" s="402"/>
      <c r="AC541" s="402" t="s">
        <v>17</v>
      </c>
      <c r="AD541" s="402"/>
      <c r="AE541" s="630"/>
      <c r="AF541" s="402"/>
      <c r="AG541" s="930" t="s">
        <v>116</v>
      </c>
      <c r="AH541" s="402"/>
      <c r="AI541" s="402" t="s">
        <v>17</v>
      </c>
      <c r="AJ541" s="402"/>
      <c r="AK541" s="630"/>
      <c r="AL541" s="402"/>
      <c r="AM541" s="930" t="s">
        <v>116</v>
      </c>
      <c r="AN541" s="402"/>
      <c r="AO541" s="402" t="s">
        <v>17</v>
      </c>
      <c r="AP541" s="402"/>
      <c r="AQ541" s="634"/>
      <c r="AR541" s="606"/>
      <c r="AS541" s="394"/>
      <c r="AT541" s="393"/>
      <c r="AU541" s="395"/>
      <c r="AV541" s="278"/>
      <c r="AW541" s="278"/>
      <c r="AX541" s="278"/>
      <c r="AY541" s="278"/>
      <c r="AZ541" s="278"/>
      <c r="BA541" s="278"/>
      <c r="BB541" s="278"/>
      <c r="BC541" s="278"/>
      <c r="BD541" s="278"/>
    </row>
    <row r="542" spans="1:56" ht="12" customHeight="1">
      <c r="A542" s="933"/>
      <c r="B542" s="934"/>
      <c r="C542" s="934"/>
      <c r="D542" s="934"/>
      <c r="E542" s="934"/>
      <c r="F542" s="934"/>
      <c r="G542" s="934"/>
      <c r="H542" s="934"/>
      <c r="I542" s="930"/>
      <c r="J542" s="402"/>
      <c r="K542" s="402" t="s">
        <v>32</v>
      </c>
      <c r="L542" s="402"/>
      <c r="M542" s="630"/>
      <c r="N542" s="402"/>
      <c r="O542" s="930"/>
      <c r="P542" s="402"/>
      <c r="Q542" s="402" t="s">
        <v>32</v>
      </c>
      <c r="R542" s="402"/>
      <c r="S542" s="630"/>
      <c r="T542" s="402"/>
      <c r="U542" s="930"/>
      <c r="V542" s="402"/>
      <c r="W542" s="402" t="s">
        <v>32</v>
      </c>
      <c r="X542" s="402"/>
      <c r="Y542" s="630"/>
      <c r="Z542" s="402"/>
      <c r="AA542" s="930"/>
      <c r="AB542" s="402"/>
      <c r="AC542" s="402" t="s">
        <v>32</v>
      </c>
      <c r="AD542" s="402"/>
      <c r="AE542" s="630"/>
      <c r="AF542" s="402"/>
      <c r="AG542" s="930"/>
      <c r="AH542" s="402"/>
      <c r="AI542" s="402" t="s">
        <v>32</v>
      </c>
      <c r="AJ542" s="402"/>
      <c r="AK542" s="630"/>
      <c r="AL542" s="402"/>
      <c r="AM542" s="930"/>
      <c r="AN542" s="402"/>
      <c r="AO542" s="402" t="s">
        <v>32</v>
      </c>
      <c r="AP542" s="402"/>
      <c r="AQ542" s="634"/>
      <c r="AR542" s="606"/>
      <c r="AS542" s="394"/>
      <c r="AT542" s="393"/>
      <c r="AU542" s="395"/>
      <c r="AV542" s="278"/>
      <c r="AW542" s="278"/>
      <c r="AX542" s="278"/>
      <c r="AY542" s="278"/>
      <c r="AZ542" s="278"/>
      <c r="BA542" s="278"/>
      <c r="BB542" s="278"/>
      <c r="BC542" s="278"/>
      <c r="BD542" s="278"/>
    </row>
    <row r="543" spans="1:56" ht="12" customHeight="1">
      <c r="A543" s="933"/>
      <c r="B543" s="934"/>
      <c r="C543" s="934"/>
      <c r="D543" s="934"/>
      <c r="E543" s="934"/>
      <c r="F543" s="934"/>
      <c r="G543" s="934"/>
      <c r="H543" s="934"/>
      <c r="I543" s="930" t="s">
        <v>117</v>
      </c>
      <c r="J543" s="402"/>
      <c r="K543" s="402" t="s">
        <v>17</v>
      </c>
      <c r="L543" s="402"/>
      <c r="M543" s="630"/>
      <c r="N543" s="402"/>
      <c r="O543" s="930" t="s">
        <v>117</v>
      </c>
      <c r="P543" s="402"/>
      <c r="Q543" s="402" t="s">
        <v>17</v>
      </c>
      <c r="R543" s="402"/>
      <c r="S543" s="630"/>
      <c r="T543" s="402"/>
      <c r="U543" s="930" t="s">
        <v>117</v>
      </c>
      <c r="V543" s="402"/>
      <c r="W543" s="402" t="s">
        <v>17</v>
      </c>
      <c r="X543" s="402"/>
      <c r="Y543" s="630"/>
      <c r="Z543" s="402"/>
      <c r="AA543" s="930" t="s">
        <v>117</v>
      </c>
      <c r="AB543" s="402"/>
      <c r="AC543" s="402" t="s">
        <v>17</v>
      </c>
      <c r="AD543" s="402"/>
      <c r="AE543" s="630"/>
      <c r="AF543" s="402"/>
      <c r="AG543" s="930" t="s">
        <v>117</v>
      </c>
      <c r="AH543" s="402"/>
      <c r="AI543" s="402" t="s">
        <v>17</v>
      </c>
      <c r="AJ543" s="402"/>
      <c r="AK543" s="630"/>
      <c r="AL543" s="402"/>
      <c r="AM543" s="930" t="s">
        <v>117</v>
      </c>
      <c r="AN543" s="402"/>
      <c r="AO543" s="402" t="s">
        <v>17</v>
      </c>
      <c r="AP543" s="402"/>
      <c r="AQ543" s="634"/>
      <c r="AR543" s="606"/>
      <c r="AS543" s="394"/>
      <c r="AT543" s="393"/>
      <c r="AU543" s="395"/>
      <c r="AV543" s="278"/>
      <c r="AW543" s="278"/>
      <c r="AX543" s="278"/>
      <c r="AY543" s="278"/>
      <c r="AZ543" s="278"/>
      <c r="BA543" s="278"/>
      <c r="BB543" s="278"/>
      <c r="BC543" s="278"/>
      <c r="BD543" s="278"/>
    </row>
    <row r="544" spans="1:56" ht="12" customHeight="1">
      <c r="A544" s="933"/>
      <c r="B544" s="934"/>
      <c r="C544" s="934"/>
      <c r="D544" s="934"/>
      <c r="E544" s="934"/>
      <c r="F544" s="934"/>
      <c r="G544" s="934"/>
      <c r="H544" s="934"/>
      <c r="I544" s="930"/>
      <c r="J544" s="402"/>
      <c r="K544" s="402" t="s">
        <v>32</v>
      </c>
      <c r="L544" s="402"/>
      <c r="M544" s="630"/>
      <c r="N544" s="402"/>
      <c r="O544" s="930"/>
      <c r="P544" s="402"/>
      <c r="Q544" s="402" t="s">
        <v>32</v>
      </c>
      <c r="R544" s="402"/>
      <c r="S544" s="630"/>
      <c r="T544" s="402"/>
      <c r="U544" s="930"/>
      <c r="V544" s="402"/>
      <c r="W544" s="402" t="s">
        <v>32</v>
      </c>
      <c r="X544" s="402"/>
      <c r="Y544" s="630"/>
      <c r="Z544" s="402"/>
      <c r="AA544" s="930"/>
      <c r="AB544" s="402"/>
      <c r="AC544" s="402" t="s">
        <v>32</v>
      </c>
      <c r="AD544" s="402"/>
      <c r="AE544" s="630"/>
      <c r="AF544" s="402"/>
      <c r="AG544" s="930"/>
      <c r="AH544" s="402"/>
      <c r="AI544" s="402" t="s">
        <v>32</v>
      </c>
      <c r="AJ544" s="402"/>
      <c r="AK544" s="630"/>
      <c r="AL544" s="402"/>
      <c r="AM544" s="930"/>
      <c r="AN544" s="402"/>
      <c r="AO544" s="402" t="s">
        <v>32</v>
      </c>
      <c r="AP544" s="402"/>
      <c r="AQ544" s="634"/>
      <c r="AR544" s="606"/>
      <c r="AS544" s="394"/>
      <c r="AT544" s="393"/>
      <c r="AU544" s="395"/>
      <c r="AV544" s="278"/>
      <c r="AW544" s="278"/>
      <c r="AX544" s="278"/>
      <c r="AY544" s="278"/>
      <c r="AZ544" s="278"/>
      <c r="BA544" s="278"/>
      <c r="BB544" s="278"/>
      <c r="BC544" s="278"/>
      <c r="BD544" s="278"/>
    </row>
    <row r="545" spans="1:56" ht="12" customHeight="1">
      <c r="A545" s="933"/>
      <c r="B545" s="934"/>
      <c r="C545" s="934"/>
      <c r="D545" s="934"/>
      <c r="E545" s="934"/>
      <c r="F545" s="934"/>
      <c r="G545" s="934"/>
      <c r="H545" s="934"/>
      <c r="I545" s="951" t="s">
        <v>462</v>
      </c>
      <c r="J545" s="402"/>
      <c r="K545" s="402" t="s">
        <v>32</v>
      </c>
      <c r="L545" s="951"/>
      <c r="M545" s="630"/>
      <c r="N545" s="402"/>
      <c r="O545" s="951" t="s">
        <v>462</v>
      </c>
      <c r="P545" s="402"/>
      <c r="Q545" s="402" t="s">
        <v>32</v>
      </c>
      <c r="R545" s="951"/>
      <c r="S545" s="630"/>
      <c r="T545" s="402"/>
      <c r="U545" s="951" t="s">
        <v>462</v>
      </c>
      <c r="V545" s="402"/>
      <c r="W545" s="402" t="s">
        <v>32</v>
      </c>
      <c r="X545" s="951"/>
      <c r="Y545" s="630"/>
      <c r="Z545" s="402"/>
      <c r="AA545" s="951" t="s">
        <v>462</v>
      </c>
      <c r="AB545" s="402"/>
      <c r="AC545" s="402" t="s">
        <v>32</v>
      </c>
      <c r="AD545" s="951"/>
      <c r="AE545" s="630"/>
      <c r="AF545" s="402"/>
      <c r="AG545" s="951" t="s">
        <v>462</v>
      </c>
      <c r="AH545" s="402"/>
      <c r="AI545" s="402" t="s">
        <v>32</v>
      </c>
      <c r="AJ545" s="951"/>
      <c r="AK545" s="630"/>
      <c r="AL545" s="402"/>
      <c r="AM545" s="951" t="s">
        <v>462</v>
      </c>
      <c r="AN545" s="402"/>
      <c r="AO545" s="402" t="s">
        <v>32</v>
      </c>
      <c r="AP545" s="402"/>
      <c r="AQ545" s="634"/>
      <c r="AR545" s="606"/>
      <c r="AS545" s="394"/>
      <c r="AT545" s="393"/>
      <c r="AU545" s="395"/>
      <c r="AV545" s="278"/>
      <c r="AW545" s="278"/>
      <c r="AX545" s="278"/>
      <c r="AY545" s="278"/>
      <c r="AZ545" s="278"/>
      <c r="BA545" s="278"/>
      <c r="BB545" s="278"/>
      <c r="BC545" s="278"/>
      <c r="BD545" s="278"/>
    </row>
    <row r="546" spans="1:56" ht="12" customHeight="1">
      <c r="A546" s="933"/>
      <c r="B546" s="934"/>
      <c r="C546" s="934"/>
      <c r="D546" s="934"/>
      <c r="E546" s="934"/>
      <c r="F546" s="934"/>
      <c r="G546" s="934"/>
      <c r="H546" s="934"/>
      <c r="I546" s="951"/>
      <c r="J546" s="402"/>
      <c r="K546" s="402" t="s">
        <v>17</v>
      </c>
      <c r="L546" s="951"/>
      <c r="M546" s="630"/>
      <c r="N546" s="402"/>
      <c r="O546" s="951"/>
      <c r="P546" s="402"/>
      <c r="Q546" s="402" t="s">
        <v>17</v>
      </c>
      <c r="R546" s="951"/>
      <c r="S546" s="630"/>
      <c r="T546" s="402"/>
      <c r="U546" s="951"/>
      <c r="V546" s="402"/>
      <c r="W546" s="402" t="s">
        <v>17</v>
      </c>
      <c r="X546" s="951"/>
      <c r="Y546" s="630"/>
      <c r="Z546" s="402"/>
      <c r="AA546" s="951"/>
      <c r="AB546" s="402"/>
      <c r="AC546" s="402" t="s">
        <v>17</v>
      </c>
      <c r="AD546" s="951"/>
      <c r="AE546" s="630"/>
      <c r="AF546" s="402"/>
      <c r="AG546" s="951"/>
      <c r="AH546" s="402"/>
      <c r="AI546" s="402" t="s">
        <v>17</v>
      </c>
      <c r="AJ546" s="951"/>
      <c r="AK546" s="630"/>
      <c r="AL546" s="402"/>
      <c r="AM546" s="951"/>
      <c r="AN546" s="402"/>
      <c r="AO546" s="402" t="s">
        <v>17</v>
      </c>
      <c r="AP546" s="402"/>
      <c r="AQ546" s="634"/>
      <c r="AR546" s="606"/>
      <c r="AS546" s="394"/>
      <c r="AT546" s="393"/>
      <c r="AU546" s="395"/>
      <c r="AV546" s="278"/>
      <c r="AW546" s="278"/>
      <c r="AX546" s="278"/>
      <c r="AY546" s="278"/>
      <c r="AZ546" s="278"/>
      <c r="BA546" s="278"/>
      <c r="BB546" s="278"/>
      <c r="BC546" s="278"/>
      <c r="BD546" s="278"/>
    </row>
    <row r="547" spans="1:56" ht="42.75">
      <c r="A547" s="933"/>
      <c r="B547" s="934"/>
      <c r="C547" s="934"/>
      <c r="D547" s="934"/>
      <c r="E547" s="934"/>
      <c r="F547" s="934"/>
      <c r="G547" s="934"/>
      <c r="H547" s="934"/>
      <c r="I547" s="403" t="s">
        <v>120</v>
      </c>
      <c r="J547" s="402"/>
      <c r="K547" s="402" t="s">
        <v>118</v>
      </c>
      <c r="L547" s="402"/>
      <c r="M547" s="630"/>
      <c r="N547" s="402"/>
      <c r="O547" s="403" t="s">
        <v>120</v>
      </c>
      <c r="P547" s="402"/>
      <c r="Q547" s="402" t="s">
        <v>118</v>
      </c>
      <c r="R547" s="402"/>
      <c r="S547" s="630"/>
      <c r="T547" s="402"/>
      <c r="U547" s="403" t="s">
        <v>120</v>
      </c>
      <c r="V547" s="402"/>
      <c r="W547" s="402" t="s">
        <v>118</v>
      </c>
      <c r="X547" s="402"/>
      <c r="Y547" s="630"/>
      <c r="Z547" s="402"/>
      <c r="AA547" s="403" t="s">
        <v>120</v>
      </c>
      <c r="AB547" s="402"/>
      <c r="AC547" s="402" t="s">
        <v>118</v>
      </c>
      <c r="AD547" s="402"/>
      <c r="AE547" s="630"/>
      <c r="AF547" s="402"/>
      <c r="AG547" s="403" t="s">
        <v>120</v>
      </c>
      <c r="AH547" s="402"/>
      <c r="AI547" s="402" t="s">
        <v>118</v>
      </c>
      <c r="AJ547" s="402"/>
      <c r="AK547" s="630"/>
      <c r="AL547" s="402"/>
      <c r="AM547" s="403" t="s">
        <v>120</v>
      </c>
      <c r="AN547" s="402"/>
      <c r="AO547" s="402" t="s">
        <v>118</v>
      </c>
      <c r="AP547" s="402"/>
      <c r="AQ547" s="634"/>
      <c r="AR547" s="606"/>
      <c r="AS547" s="394"/>
      <c r="AT547" s="393"/>
      <c r="AU547" s="395"/>
      <c r="AV547" s="278"/>
      <c r="AW547" s="278"/>
      <c r="AX547" s="278"/>
      <c r="AY547" s="278"/>
      <c r="AZ547" s="278"/>
      <c r="BA547" s="278"/>
      <c r="BB547" s="278"/>
      <c r="BC547" s="278"/>
      <c r="BD547" s="278"/>
    </row>
    <row r="548" spans="1:56" ht="28.5">
      <c r="A548" s="933"/>
      <c r="B548" s="934"/>
      <c r="C548" s="934"/>
      <c r="D548" s="934"/>
      <c r="E548" s="934"/>
      <c r="F548" s="934"/>
      <c r="G548" s="934"/>
      <c r="H548" s="934"/>
      <c r="I548" s="403" t="s">
        <v>93</v>
      </c>
      <c r="J548" s="402"/>
      <c r="K548" s="402" t="s">
        <v>118</v>
      </c>
      <c r="L548" s="402"/>
      <c r="M548" s="630"/>
      <c r="N548" s="402"/>
      <c r="O548" s="403" t="s">
        <v>93</v>
      </c>
      <c r="P548" s="402"/>
      <c r="Q548" s="402" t="s">
        <v>118</v>
      </c>
      <c r="R548" s="402"/>
      <c r="S548" s="630"/>
      <c r="T548" s="402"/>
      <c r="U548" s="403" t="s">
        <v>93</v>
      </c>
      <c r="V548" s="402"/>
      <c r="W548" s="402" t="s">
        <v>118</v>
      </c>
      <c r="X548" s="402"/>
      <c r="Y548" s="630"/>
      <c r="Z548" s="402"/>
      <c r="AA548" s="403" t="s">
        <v>93</v>
      </c>
      <c r="AB548" s="402"/>
      <c r="AC548" s="402" t="s">
        <v>118</v>
      </c>
      <c r="AD548" s="402"/>
      <c r="AE548" s="630"/>
      <c r="AF548" s="402"/>
      <c r="AG548" s="403" t="s">
        <v>93</v>
      </c>
      <c r="AH548" s="402"/>
      <c r="AI548" s="402" t="s">
        <v>118</v>
      </c>
      <c r="AJ548" s="402"/>
      <c r="AK548" s="630"/>
      <c r="AL548" s="402"/>
      <c r="AM548" s="403" t="s">
        <v>93</v>
      </c>
      <c r="AN548" s="402"/>
      <c r="AO548" s="402" t="s">
        <v>118</v>
      </c>
      <c r="AP548" s="402"/>
      <c r="AQ548" s="634"/>
      <c r="AR548" s="606"/>
      <c r="AS548" s="394"/>
      <c r="AT548" s="393"/>
      <c r="AU548" s="395"/>
      <c r="AV548" s="278"/>
      <c r="AW548" s="278"/>
      <c r="AX548" s="278"/>
      <c r="AY548" s="278"/>
      <c r="AZ548" s="278"/>
      <c r="BA548" s="278"/>
      <c r="BB548" s="278"/>
      <c r="BC548" s="278"/>
      <c r="BD548" s="278"/>
    </row>
    <row r="549" spans="1:56" ht="42.75">
      <c r="A549" s="933"/>
      <c r="B549" s="934"/>
      <c r="C549" s="934"/>
      <c r="D549" s="934"/>
      <c r="E549" s="934"/>
      <c r="F549" s="934"/>
      <c r="G549" s="934"/>
      <c r="H549" s="934"/>
      <c r="I549" s="403" t="s">
        <v>463</v>
      </c>
      <c r="J549" s="402"/>
      <c r="K549" s="402" t="s">
        <v>2681</v>
      </c>
      <c r="L549" s="402"/>
      <c r="M549" s="630"/>
      <c r="N549" s="402"/>
      <c r="O549" s="403" t="s">
        <v>463</v>
      </c>
      <c r="P549" s="402"/>
      <c r="Q549" s="402" t="s">
        <v>2681</v>
      </c>
      <c r="R549" s="402"/>
      <c r="S549" s="630"/>
      <c r="T549" s="402"/>
      <c r="U549" s="403" t="s">
        <v>463</v>
      </c>
      <c r="V549" s="402"/>
      <c r="W549" s="402" t="s">
        <v>2681</v>
      </c>
      <c r="X549" s="402"/>
      <c r="Y549" s="630"/>
      <c r="Z549" s="402"/>
      <c r="AA549" s="403" t="s">
        <v>463</v>
      </c>
      <c r="AB549" s="402"/>
      <c r="AC549" s="402" t="s">
        <v>2681</v>
      </c>
      <c r="AD549" s="402"/>
      <c r="AE549" s="630"/>
      <c r="AF549" s="402"/>
      <c r="AG549" s="403" t="s">
        <v>463</v>
      </c>
      <c r="AH549" s="402"/>
      <c r="AI549" s="402" t="s">
        <v>2681</v>
      </c>
      <c r="AJ549" s="402"/>
      <c r="AK549" s="630"/>
      <c r="AL549" s="402"/>
      <c r="AM549" s="403" t="s">
        <v>463</v>
      </c>
      <c r="AN549" s="402"/>
      <c r="AO549" s="402" t="s">
        <v>2681</v>
      </c>
      <c r="AP549" s="402"/>
      <c r="AQ549" s="634"/>
      <c r="AR549" s="606"/>
      <c r="AS549" s="394"/>
      <c r="AT549" s="393"/>
      <c r="AU549" s="395"/>
      <c r="AV549" s="278"/>
      <c r="AW549" s="278"/>
      <c r="AX549" s="278"/>
      <c r="AY549" s="278"/>
      <c r="AZ549" s="278"/>
      <c r="BA549" s="278"/>
      <c r="BB549" s="278"/>
      <c r="BC549" s="278"/>
      <c r="BD549" s="278"/>
    </row>
    <row r="550" spans="1:56">
      <c r="A550" s="933"/>
      <c r="B550" s="934"/>
      <c r="C550" s="934"/>
      <c r="D550" s="934"/>
      <c r="E550" s="934"/>
      <c r="F550" s="934"/>
      <c r="G550" s="934"/>
      <c r="H550" s="934"/>
      <c r="I550" s="403" t="s">
        <v>464</v>
      </c>
      <c r="J550" s="402"/>
      <c r="K550" s="402" t="s">
        <v>32</v>
      </c>
      <c r="L550" s="402"/>
      <c r="M550" s="630"/>
      <c r="N550" s="402"/>
      <c r="O550" s="403" t="s">
        <v>464</v>
      </c>
      <c r="P550" s="402"/>
      <c r="Q550" s="402" t="s">
        <v>32</v>
      </c>
      <c r="R550" s="402"/>
      <c r="S550" s="630"/>
      <c r="T550" s="402"/>
      <c r="U550" s="403" t="s">
        <v>464</v>
      </c>
      <c r="V550" s="402"/>
      <c r="W550" s="402" t="s">
        <v>32</v>
      </c>
      <c r="X550" s="402"/>
      <c r="Y550" s="630"/>
      <c r="Z550" s="402"/>
      <c r="AA550" s="403" t="s">
        <v>464</v>
      </c>
      <c r="AB550" s="402"/>
      <c r="AC550" s="402" t="s">
        <v>32</v>
      </c>
      <c r="AD550" s="402"/>
      <c r="AE550" s="630"/>
      <c r="AF550" s="402"/>
      <c r="AG550" s="403" t="s">
        <v>464</v>
      </c>
      <c r="AH550" s="402"/>
      <c r="AI550" s="402" t="s">
        <v>32</v>
      </c>
      <c r="AJ550" s="402"/>
      <c r="AK550" s="630"/>
      <c r="AL550" s="402"/>
      <c r="AM550" s="403" t="s">
        <v>464</v>
      </c>
      <c r="AN550" s="402"/>
      <c r="AO550" s="402" t="s">
        <v>32</v>
      </c>
      <c r="AP550" s="402"/>
      <c r="AQ550" s="634"/>
      <c r="AR550" s="606"/>
      <c r="AS550" s="394"/>
      <c r="AT550" s="393"/>
      <c r="AU550" s="395"/>
      <c r="AV550" s="278"/>
      <c r="AW550" s="278"/>
      <c r="AX550" s="278"/>
      <c r="AY550" s="278"/>
      <c r="AZ550" s="278"/>
      <c r="BA550" s="278"/>
      <c r="BB550" s="278"/>
      <c r="BC550" s="278"/>
      <c r="BD550" s="278"/>
    </row>
    <row r="551" spans="1:56" ht="28.5">
      <c r="A551" s="933"/>
      <c r="B551" s="934"/>
      <c r="C551" s="934"/>
      <c r="D551" s="934"/>
      <c r="E551" s="934"/>
      <c r="F551" s="934"/>
      <c r="G551" s="934"/>
      <c r="H551" s="934"/>
      <c r="I551" s="403" t="s">
        <v>68</v>
      </c>
      <c r="J551" s="402"/>
      <c r="K551" s="402" t="s">
        <v>2681</v>
      </c>
      <c r="L551" s="402"/>
      <c r="M551" s="630"/>
      <c r="N551" s="402"/>
      <c r="O551" s="403" t="s">
        <v>68</v>
      </c>
      <c r="P551" s="402"/>
      <c r="Q551" s="402" t="s">
        <v>2681</v>
      </c>
      <c r="R551" s="402"/>
      <c r="S551" s="630"/>
      <c r="T551" s="402"/>
      <c r="U551" s="403" t="s">
        <v>68</v>
      </c>
      <c r="V551" s="402"/>
      <c r="W551" s="402" t="s">
        <v>2681</v>
      </c>
      <c r="X551" s="402"/>
      <c r="Y551" s="630"/>
      <c r="Z551" s="402"/>
      <c r="AA551" s="403" t="s">
        <v>68</v>
      </c>
      <c r="AB551" s="402"/>
      <c r="AC551" s="402" t="s">
        <v>2681</v>
      </c>
      <c r="AD551" s="402"/>
      <c r="AE551" s="630"/>
      <c r="AF551" s="402"/>
      <c r="AG551" s="403" t="s">
        <v>68</v>
      </c>
      <c r="AH551" s="402"/>
      <c r="AI551" s="402" t="s">
        <v>2681</v>
      </c>
      <c r="AJ551" s="402"/>
      <c r="AK551" s="630"/>
      <c r="AL551" s="402"/>
      <c r="AM551" s="403" t="s">
        <v>68</v>
      </c>
      <c r="AN551" s="402"/>
      <c r="AO551" s="402" t="s">
        <v>2681</v>
      </c>
      <c r="AP551" s="402"/>
      <c r="AQ551" s="634"/>
      <c r="AR551" s="606"/>
      <c r="AS551" s="394"/>
      <c r="AT551" s="393"/>
      <c r="AU551" s="395"/>
      <c r="AV551" s="278"/>
      <c r="AW551" s="278"/>
      <c r="AX551" s="278"/>
      <c r="AY551" s="278"/>
      <c r="AZ551" s="278"/>
      <c r="BA551" s="278"/>
      <c r="BB551" s="278"/>
      <c r="BC551" s="278"/>
      <c r="BD551" s="278"/>
    </row>
    <row r="552" spans="1:56" ht="42.75">
      <c r="A552" s="933"/>
      <c r="B552" s="934"/>
      <c r="C552" s="934"/>
      <c r="D552" s="934"/>
      <c r="E552" s="934"/>
      <c r="F552" s="934"/>
      <c r="G552" s="934"/>
      <c r="H552" s="934"/>
      <c r="I552" s="403" t="s">
        <v>465</v>
      </c>
      <c r="J552" s="402"/>
      <c r="K552" s="402" t="s">
        <v>2681</v>
      </c>
      <c r="L552" s="403"/>
      <c r="M552" s="630"/>
      <c r="N552" s="402"/>
      <c r="O552" s="403" t="s">
        <v>465</v>
      </c>
      <c r="P552" s="402"/>
      <c r="Q552" s="402" t="s">
        <v>2681</v>
      </c>
      <c r="R552" s="403"/>
      <c r="S552" s="630"/>
      <c r="T552" s="402"/>
      <c r="U552" s="403" t="s">
        <v>465</v>
      </c>
      <c r="V552" s="402"/>
      <c r="W552" s="402" t="s">
        <v>2681</v>
      </c>
      <c r="X552" s="403"/>
      <c r="Y552" s="630"/>
      <c r="Z552" s="402"/>
      <c r="AA552" s="403" t="s">
        <v>465</v>
      </c>
      <c r="AB552" s="402"/>
      <c r="AC552" s="402" t="s">
        <v>2681</v>
      </c>
      <c r="AD552" s="403"/>
      <c r="AE552" s="630"/>
      <c r="AF552" s="402"/>
      <c r="AG552" s="403" t="s">
        <v>465</v>
      </c>
      <c r="AH552" s="402"/>
      <c r="AI552" s="402" t="s">
        <v>2681</v>
      </c>
      <c r="AJ552" s="403"/>
      <c r="AK552" s="630"/>
      <c r="AL552" s="402"/>
      <c r="AM552" s="403" t="s">
        <v>465</v>
      </c>
      <c r="AN552" s="402"/>
      <c r="AO552" s="402" t="s">
        <v>2681</v>
      </c>
      <c r="AP552" s="403"/>
      <c r="AQ552" s="634"/>
      <c r="AR552" s="606"/>
      <c r="AS552" s="394"/>
      <c r="AT552" s="393"/>
      <c r="AU552" s="395"/>
      <c r="AV552" s="278"/>
      <c r="AW552" s="278"/>
      <c r="AX552" s="278"/>
      <c r="AY552" s="278"/>
      <c r="AZ552" s="278"/>
      <c r="BA552" s="278"/>
      <c r="BB552" s="278"/>
      <c r="BC552" s="278"/>
      <c r="BD552" s="278"/>
    </row>
    <row r="553" spans="1:56" ht="28.5">
      <c r="A553" s="933"/>
      <c r="B553" s="934"/>
      <c r="C553" s="934"/>
      <c r="D553" s="934"/>
      <c r="E553" s="934"/>
      <c r="F553" s="934"/>
      <c r="G553" s="934"/>
      <c r="H553" s="934"/>
      <c r="I553" s="403" t="s">
        <v>112</v>
      </c>
      <c r="J553" s="402"/>
      <c r="K553" s="402" t="s">
        <v>32</v>
      </c>
      <c r="L553" s="403"/>
      <c r="M553" s="630"/>
      <c r="N553" s="402"/>
      <c r="O553" s="403" t="s">
        <v>112</v>
      </c>
      <c r="P553" s="402"/>
      <c r="Q553" s="402" t="s">
        <v>32</v>
      </c>
      <c r="R553" s="403"/>
      <c r="S553" s="630"/>
      <c r="T553" s="402"/>
      <c r="U553" s="403" t="s">
        <v>112</v>
      </c>
      <c r="V553" s="402"/>
      <c r="W553" s="402" t="s">
        <v>32</v>
      </c>
      <c r="X553" s="403"/>
      <c r="Y553" s="630"/>
      <c r="Z553" s="402"/>
      <c r="AA553" s="403" t="s">
        <v>112</v>
      </c>
      <c r="AB553" s="402"/>
      <c r="AC553" s="402" t="s">
        <v>32</v>
      </c>
      <c r="AD553" s="403"/>
      <c r="AE553" s="630"/>
      <c r="AF553" s="402"/>
      <c r="AG553" s="403" t="s">
        <v>112</v>
      </c>
      <c r="AH553" s="402"/>
      <c r="AI553" s="402" t="s">
        <v>32</v>
      </c>
      <c r="AJ553" s="403"/>
      <c r="AK553" s="630"/>
      <c r="AL553" s="402"/>
      <c r="AM553" s="403" t="s">
        <v>112</v>
      </c>
      <c r="AN553" s="402"/>
      <c r="AO553" s="402" t="s">
        <v>32</v>
      </c>
      <c r="AP553" s="403"/>
      <c r="AQ553" s="634"/>
      <c r="AR553" s="606"/>
      <c r="AS553" s="394"/>
      <c r="AT553" s="393"/>
      <c r="AU553" s="395"/>
      <c r="AV553" s="278"/>
      <c r="AW553" s="278"/>
      <c r="AX553" s="278"/>
      <c r="AY553" s="278"/>
      <c r="AZ553" s="278"/>
      <c r="BA553" s="278"/>
      <c r="BB553" s="278"/>
      <c r="BC553" s="278"/>
      <c r="BD553" s="278"/>
    </row>
    <row r="554" spans="1:56" ht="42.75">
      <c r="A554" s="933"/>
      <c r="B554" s="934"/>
      <c r="C554" s="934"/>
      <c r="D554" s="934"/>
      <c r="E554" s="934"/>
      <c r="F554" s="934"/>
      <c r="G554" s="934"/>
      <c r="H554" s="934"/>
      <c r="I554" s="403" t="s">
        <v>466</v>
      </c>
      <c r="J554" s="402"/>
      <c r="K554" s="402" t="s">
        <v>32</v>
      </c>
      <c r="L554" s="403"/>
      <c r="M554" s="630"/>
      <c r="N554" s="402"/>
      <c r="O554" s="403" t="s">
        <v>466</v>
      </c>
      <c r="P554" s="402"/>
      <c r="Q554" s="402" t="s">
        <v>32</v>
      </c>
      <c r="R554" s="403"/>
      <c r="S554" s="630"/>
      <c r="T554" s="402"/>
      <c r="U554" s="403" t="s">
        <v>466</v>
      </c>
      <c r="V554" s="402"/>
      <c r="W554" s="402" t="s">
        <v>32</v>
      </c>
      <c r="X554" s="403"/>
      <c r="Y554" s="630"/>
      <c r="Z554" s="402"/>
      <c r="AA554" s="403" t="s">
        <v>466</v>
      </c>
      <c r="AB554" s="402"/>
      <c r="AC554" s="402" t="s">
        <v>32</v>
      </c>
      <c r="AD554" s="403"/>
      <c r="AE554" s="630"/>
      <c r="AF554" s="402"/>
      <c r="AG554" s="403" t="s">
        <v>466</v>
      </c>
      <c r="AH554" s="402"/>
      <c r="AI554" s="402" t="s">
        <v>32</v>
      </c>
      <c r="AJ554" s="403"/>
      <c r="AK554" s="630"/>
      <c r="AL554" s="402"/>
      <c r="AM554" s="403" t="s">
        <v>466</v>
      </c>
      <c r="AN554" s="402"/>
      <c r="AO554" s="402" t="s">
        <v>32</v>
      </c>
      <c r="AP554" s="403"/>
      <c r="AQ554" s="634"/>
      <c r="AR554" s="606"/>
      <c r="AS554" s="394"/>
      <c r="AT554" s="393"/>
      <c r="AU554" s="395"/>
      <c r="AV554" s="278"/>
      <c r="AW554" s="278"/>
      <c r="AX554" s="278"/>
      <c r="AY554" s="278"/>
      <c r="AZ554" s="278"/>
      <c r="BA554" s="278"/>
      <c r="BB554" s="278"/>
      <c r="BC554" s="278"/>
      <c r="BD554" s="278"/>
    </row>
    <row r="555" spans="1:56" ht="42.75">
      <c r="A555" s="933"/>
      <c r="B555" s="934"/>
      <c r="C555" s="934"/>
      <c r="D555" s="934"/>
      <c r="E555" s="934"/>
      <c r="F555" s="934"/>
      <c r="G555" s="934"/>
      <c r="H555" s="934"/>
      <c r="I555" s="403" t="s">
        <v>467</v>
      </c>
      <c r="J555" s="402"/>
      <c r="K555" s="402" t="s">
        <v>32</v>
      </c>
      <c r="L555" s="403"/>
      <c r="M555" s="630"/>
      <c r="N555" s="402"/>
      <c r="O555" s="403" t="s">
        <v>467</v>
      </c>
      <c r="P555" s="402"/>
      <c r="Q555" s="402" t="s">
        <v>32</v>
      </c>
      <c r="R555" s="403"/>
      <c r="S555" s="630"/>
      <c r="T555" s="402"/>
      <c r="U555" s="403" t="s">
        <v>467</v>
      </c>
      <c r="V555" s="402"/>
      <c r="W555" s="402" t="s">
        <v>32</v>
      </c>
      <c r="X555" s="403"/>
      <c r="Y555" s="630"/>
      <c r="Z555" s="402"/>
      <c r="AA555" s="403" t="s">
        <v>467</v>
      </c>
      <c r="AB555" s="402"/>
      <c r="AC555" s="402" t="s">
        <v>32</v>
      </c>
      <c r="AD555" s="403"/>
      <c r="AE555" s="630"/>
      <c r="AF555" s="402"/>
      <c r="AG555" s="403" t="s">
        <v>467</v>
      </c>
      <c r="AH555" s="402"/>
      <c r="AI555" s="402" t="s">
        <v>32</v>
      </c>
      <c r="AJ555" s="403"/>
      <c r="AK555" s="630"/>
      <c r="AL555" s="402"/>
      <c r="AM555" s="403" t="s">
        <v>467</v>
      </c>
      <c r="AN555" s="402"/>
      <c r="AO555" s="402" t="s">
        <v>32</v>
      </c>
      <c r="AP555" s="403"/>
      <c r="AQ555" s="634"/>
      <c r="AR555" s="606"/>
      <c r="AS555" s="394"/>
      <c r="AT555" s="393"/>
      <c r="AU555" s="395"/>
      <c r="AV555" s="278"/>
      <c r="AW555" s="278"/>
      <c r="AX555" s="278"/>
      <c r="AY555" s="278"/>
      <c r="AZ555" s="278"/>
      <c r="BA555" s="278"/>
      <c r="BB555" s="278"/>
      <c r="BC555" s="278"/>
      <c r="BD555" s="278"/>
    </row>
    <row r="556" spans="1:56" ht="42.75">
      <c r="A556" s="933"/>
      <c r="B556" s="934"/>
      <c r="C556" s="934"/>
      <c r="D556" s="934"/>
      <c r="E556" s="934"/>
      <c r="F556" s="934"/>
      <c r="G556" s="934"/>
      <c r="H556" s="934"/>
      <c r="I556" s="403" t="s">
        <v>468</v>
      </c>
      <c r="J556" s="402"/>
      <c r="K556" s="402" t="s">
        <v>118</v>
      </c>
      <c r="L556" s="403"/>
      <c r="M556" s="630"/>
      <c r="N556" s="402"/>
      <c r="O556" s="403" t="s">
        <v>468</v>
      </c>
      <c r="P556" s="402"/>
      <c r="Q556" s="402" t="s">
        <v>118</v>
      </c>
      <c r="R556" s="403"/>
      <c r="S556" s="630"/>
      <c r="T556" s="402"/>
      <c r="U556" s="403" t="s">
        <v>468</v>
      </c>
      <c r="V556" s="402"/>
      <c r="W556" s="402" t="s">
        <v>118</v>
      </c>
      <c r="X556" s="403"/>
      <c r="Y556" s="630"/>
      <c r="Z556" s="402"/>
      <c r="AA556" s="403" t="s">
        <v>468</v>
      </c>
      <c r="AB556" s="402"/>
      <c r="AC556" s="402" t="s">
        <v>118</v>
      </c>
      <c r="AD556" s="403"/>
      <c r="AE556" s="630"/>
      <c r="AF556" s="402"/>
      <c r="AG556" s="403" t="s">
        <v>468</v>
      </c>
      <c r="AH556" s="402"/>
      <c r="AI556" s="402" t="s">
        <v>118</v>
      </c>
      <c r="AJ556" s="403"/>
      <c r="AK556" s="630"/>
      <c r="AL556" s="402"/>
      <c r="AM556" s="403" t="s">
        <v>468</v>
      </c>
      <c r="AN556" s="402"/>
      <c r="AO556" s="402" t="s">
        <v>118</v>
      </c>
      <c r="AP556" s="403"/>
      <c r="AQ556" s="634"/>
      <c r="AR556" s="606"/>
      <c r="AS556" s="394"/>
      <c r="AT556" s="393"/>
      <c r="AU556" s="395"/>
      <c r="AV556" s="278"/>
      <c r="AW556" s="278"/>
      <c r="AX556" s="278"/>
      <c r="AY556" s="278"/>
      <c r="AZ556" s="278"/>
      <c r="BA556" s="278"/>
      <c r="BB556" s="278"/>
      <c r="BC556" s="278"/>
      <c r="BD556" s="278"/>
    </row>
    <row r="557" spans="1:56" ht="42.75">
      <c r="A557" s="933"/>
      <c r="B557" s="934"/>
      <c r="C557" s="934"/>
      <c r="D557" s="934"/>
      <c r="E557" s="934"/>
      <c r="F557" s="934"/>
      <c r="G557" s="934"/>
      <c r="H557" s="934"/>
      <c r="I557" s="403" t="s">
        <v>469</v>
      </c>
      <c r="J557" s="402"/>
      <c r="K557" s="402" t="s">
        <v>2681</v>
      </c>
      <c r="L557" s="403"/>
      <c r="M557" s="630"/>
      <c r="N557" s="402"/>
      <c r="O557" s="403" t="s">
        <v>469</v>
      </c>
      <c r="P557" s="402"/>
      <c r="Q557" s="402" t="s">
        <v>2681</v>
      </c>
      <c r="R557" s="403"/>
      <c r="S557" s="630"/>
      <c r="T557" s="402"/>
      <c r="U557" s="403" t="s">
        <v>469</v>
      </c>
      <c r="V557" s="402"/>
      <c r="W557" s="402" t="s">
        <v>2681</v>
      </c>
      <c r="X557" s="403"/>
      <c r="Y557" s="630"/>
      <c r="Z557" s="402"/>
      <c r="AA557" s="403" t="s">
        <v>469</v>
      </c>
      <c r="AB557" s="402"/>
      <c r="AC557" s="402" t="s">
        <v>2681</v>
      </c>
      <c r="AD557" s="403"/>
      <c r="AE557" s="630"/>
      <c r="AF557" s="402"/>
      <c r="AG557" s="403" t="s">
        <v>469</v>
      </c>
      <c r="AH557" s="402"/>
      <c r="AI557" s="402" t="s">
        <v>2681</v>
      </c>
      <c r="AJ557" s="403"/>
      <c r="AK557" s="630"/>
      <c r="AL557" s="402"/>
      <c r="AM557" s="403" t="s">
        <v>469</v>
      </c>
      <c r="AN557" s="402"/>
      <c r="AO557" s="402" t="s">
        <v>2681</v>
      </c>
      <c r="AP557" s="403"/>
      <c r="AQ557" s="634"/>
      <c r="AR557" s="606"/>
      <c r="AS557" s="394"/>
      <c r="AT557" s="393"/>
      <c r="AU557" s="395"/>
      <c r="AV557" s="278"/>
      <c r="AW557" s="278"/>
      <c r="AX557" s="278"/>
      <c r="AY557" s="278"/>
      <c r="AZ557" s="278"/>
      <c r="BA557" s="278"/>
      <c r="BB557" s="278"/>
      <c r="BC557" s="278"/>
      <c r="BD557" s="278"/>
    </row>
    <row r="558" spans="1:56" ht="71.25">
      <c r="A558" s="933"/>
      <c r="B558" s="934"/>
      <c r="C558" s="934"/>
      <c r="D558" s="934"/>
      <c r="E558" s="934"/>
      <c r="F558" s="934"/>
      <c r="G558" s="934"/>
      <c r="H558" s="934"/>
      <c r="I558" s="403" t="s">
        <v>470</v>
      </c>
      <c r="J558" s="402"/>
      <c r="K558" s="402" t="s">
        <v>118</v>
      </c>
      <c r="L558" s="403"/>
      <c r="M558" s="630"/>
      <c r="N558" s="402"/>
      <c r="O558" s="403" t="s">
        <v>470</v>
      </c>
      <c r="P558" s="402"/>
      <c r="Q558" s="402" t="s">
        <v>118</v>
      </c>
      <c r="R558" s="403"/>
      <c r="S558" s="630"/>
      <c r="T558" s="402"/>
      <c r="U558" s="403" t="s">
        <v>470</v>
      </c>
      <c r="V558" s="402"/>
      <c r="W558" s="402" t="s">
        <v>118</v>
      </c>
      <c r="X558" s="403"/>
      <c r="Y558" s="630"/>
      <c r="Z558" s="402"/>
      <c r="AA558" s="403" t="s">
        <v>470</v>
      </c>
      <c r="AB558" s="402"/>
      <c r="AC558" s="402" t="s">
        <v>118</v>
      </c>
      <c r="AD558" s="403"/>
      <c r="AE558" s="630"/>
      <c r="AF558" s="402"/>
      <c r="AG558" s="403" t="s">
        <v>470</v>
      </c>
      <c r="AH558" s="402"/>
      <c r="AI558" s="402" t="s">
        <v>118</v>
      </c>
      <c r="AJ558" s="403"/>
      <c r="AK558" s="630"/>
      <c r="AL558" s="402"/>
      <c r="AM558" s="403" t="s">
        <v>470</v>
      </c>
      <c r="AN558" s="402"/>
      <c r="AO558" s="402" t="s">
        <v>118</v>
      </c>
      <c r="AP558" s="403"/>
      <c r="AQ558" s="634"/>
      <c r="AR558" s="606"/>
      <c r="AS558" s="394"/>
      <c r="AT558" s="393"/>
      <c r="AU558" s="395"/>
      <c r="AV558" s="278"/>
      <c r="AW558" s="278"/>
      <c r="AX558" s="278"/>
      <c r="AY558" s="278"/>
      <c r="AZ558" s="278"/>
      <c r="BA558" s="278"/>
      <c r="BB558" s="278"/>
      <c r="BC558" s="278"/>
      <c r="BD558" s="278"/>
    </row>
    <row r="559" spans="1:56">
      <c r="A559" s="933"/>
      <c r="B559" s="934"/>
      <c r="C559" s="934"/>
      <c r="D559" s="934"/>
      <c r="E559" s="934"/>
      <c r="F559" s="934"/>
      <c r="G559" s="934"/>
      <c r="H559" s="934"/>
      <c r="I559" s="403" t="s">
        <v>471</v>
      </c>
      <c r="J559" s="402"/>
      <c r="K559" s="402"/>
      <c r="L559" s="403"/>
      <c r="M559" s="630"/>
      <c r="N559" s="402"/>
      <c r="O559" s="403" t="s">
        <v>471</v>
      </c>
      <c r="P559" s="402"/>
      <c r="Q559" s="402"/>
      <c r="R559" s="403"/>
      <c r="S559" s="630"/>
      <c r="T559" s="402"/>
      <c r="U559" s="403" t="s">
        <v>471</v>
      </c>
      <c r="V559" s="402"/>
      <c r="W559" s="402"/>
      <c r="X559" s="403"/>
      <c r="Y559" s="630"/>
      <c r="Z559" s="402"/>
      <c r="AA559" s="403" t="s">
        <v>471</v>
      </c>
      <c r="AB559" s="402"/>
      <c r="AC559" s="402"/>
      <c r="AD559" s="403"/>
      <c r="AE559" s="630"/>
      <c r="AF559" s="402"/>
      <c r="AG559" s="403" t="s">
        <v>471</v>
      </c>
      <c r="AH559" s="402"/>
      <c r="AI559" s="402"/>
      <c r="AJ559" s="403"/>
      <c r="AK559" s="630"/>
      <c r="AL559" s="402"/>
      <c r="AM559" s="403" t="s">
        <v>471</v>
      </c>
      <c r="AN559" s="402"/>
      <c r="AO559" s="402"/>
      <c r="AP559" s="403"/>
      <c r="AQ559" s="634"/>
      <c r="AR559" s="606"/>
      <c r="AS559" s="394"/>
      <c r="AT559" s="393"/>
      <c r="AU559" s="395"/>
      <c r="AV559" s="278"/>
      <c r="AW559" s="278"/>
      <c r="AX559" s="278"/>
      <c r="AY559" s="278"/>
      <c r="AZ559" s="278"/>
      <c r="BA559" s="278"/>
      <c r="BB559" s="278"/>
      <c r="BC559" s="278"/>
      <c r="BD559" s="278"/>
    </row>
    <row r="560" spans="1:56">
      <c r="A560" s="635">
        <v>1</v>
      </c>
      <c r="B560" s="404"/>
      <c r="C560" s="405"/>
      <c r="D560" s="405"/>
      <c r="E560" s="404"/>
      <c r="F560" s="404"/>
      <c r="G560" s="404"/>
      <c r="H560" s="404"/>
      <c r="I560" s="268"/>
      <c r="J560" s="406"/>
      <c r="K560" s="268"/>
      <c r="L560" s="552"/>
      <c r="M560" s="552"/>
      <c r="N560" s="268"/>
      <c r="O560" s="268"/>
      <c r="P560" s="406"/>
      <c r="Q560" s="552"/>
      <c r="R560" s="552"/>
      <c r="S560" s="552"/>
      <c r="T560" s="268"/>
      <c r="U560" s="401"/>
      <c r="V560" s="407"/>
      <c r="W560" s="407"/>
      <c r="X560" s="407"/>
      <c r="Y560" s="407"/>
      <c r="Z560" s="407"/>
      <c r="AA560" s="407"/>
      <c r="AB560" s="407"/>
      <c r="AC560" s="407"/>
      <c r="AD560" s="407"/>
      <c r="AE560" s="407"/>
      <c r="AF560" s="407"/>
      <c r="AG560" s="407"/>
      <c r="AH560" s="407"/>
      <c r="AI560" s="407"/>
      <c r="AJ560" s="407"/>
      <c r="AK560" s="407"/>
      <c r="AL560" s="407"/>
      <c r="AM560" s="407"/>
      <c r="AN560" s="407"/>
      <c r="AO560" s="407"/>
      <c r="AP560" s="401"/>
      <c r="AQ560" s="634"/>
      <c r="AR560" s="606"/>
      <c r="AS560" s="394"/>
      <c r="AT560" s="393"/>
      <c r="AU560" s="395"/>
      <c r="AV560" s="278"/>
      <c r="AW560" s="278"/>
      <c r="AX560" s="278"/>
      <c r="AY560" s="278"/>
      <c r="AZ560" s="278"/>
      <c r="BA560" s="278"/>
      <c r="BB560" s="278"/>
      <c r="BC560" s="278"/>
      <c r="BD560" s="278"/>
    </row>
    <row r="561" spans="1:56">
      <c r="A561" s="635">
        <v>2</v>
      </c>
      <c r="B561" s="404"/>
      <c r="C561" s="405"/>
      <c r="D561" s="405"/>
      <c r="E561" s="404"/>
      <c r="F561" s="404"/>
      <c r="G561" s="404"/>
      <c r="H561" s="404"/>
      <c r="I561" s="268"/>
      <c r="J561" s="406"/>
      <c r="K561" s="268"/>
      <c r="L561" s="552"/>
      <c r="M561" s="552"/>
      <c r="N561" s="268"/>
      <c r="O561" s="268"/>
      <c r="P561" s="406"/>
      <c r="Q561" s="552"/>
      <c r="R561" s="552"/>
      <c r="S561" s="552"/>
      <c r="T561" s="268"/>
      <c r="U561" s="401"/>
      <c r="V561" s="407"/>
      <c r="W561" s="407"/>
      <c r="X561" s="407"/>
      <c r="Y561" s="407"/>
      <c r="Z561" s="407"/>
      <c r="AA561" s="407"/>
      <c r="AB561" s="407"/>
      <c r="AC561" s="407"/>
      <c r="AD561" s="407"/>
      <c r="AE561" s="407"/>
      <c r="AF561" s="407"/>
      <c r="AG561" s="407"/>
      <c r="AH561" s="407"/>
      <c r="AI561" s="407"/>
      <c r="AJ561" s="407"/>
      <c r="AK561" s="407"/>
      <c r="AL561" s="407"/>
      <c r="AM561" s="407"/>
      <c r="AN561" s="407"/>
      <c r="AO561" s="407"/>
      <c r="AP561" s="401"/>
      <c r="AQ561" s="634"/>
      <c r="AR561" s="606"/>
      <c r="AS561" s="394"/>
      <c r="AT561" s="393"/>
      <c r="AU561" s="395"/>
      <c r="AV561" s="278"/>
      <c r="AW561" s="278"/>
      <c r="AX561" s="278"/>
      <c r="AY561" s="278"/>
      <c r="AZ561" s="278"/>
      <c r="BA561" s="278"/>
      <c r="BB561" s="278"/>
      <c r="BC561" s="278"/>
      <c r="BD561" s="278"/>
    </row>
    <row r="562" spans="1:56">
      <c r="A562" s="635">
        <v>3</v>
      </c>
      <c r="B562" s="404"/>
      <c r="C562" s="405"/>
      <c r="D562" s="405"/>
      <c r="E562" s="404"/>
      <c r="F562" s="404"/>
      <c r="G562" s="404"/>
      <c r="H562" s="404"/>
      <c r="I562" s="268"/>
      <c r="J562" s="406"/>
      <c r="K562" s="268"/>
      <c r="L562" s="552"/>
      <c r="M562" s="552"/>
      <c r="N562" s="268"/>
      <c r="O562" s="268"/>
      <c r="P562" s="406"/>
      <c r="Q562" s="552"/>
      <c r="R562" s="552"/>
      <c r="S562" s="552"/>
      <c r="T562" s="268"/>
      <c r="U562" s="268"/>
      <c r="V562" s="406"/>
      <c r="W562" s="268"/>
      <c r="X562" s="552"/>
      <c r="Y562" s="552"/>
      <c r="Z562" s="268"/>
      <c r="AA562" s="268"/>
      <c r="AB562" s="406"/>
      <c r="AC562" s="268"/>
      <c r="AD562" s="552"/>
      <c r="AE562" s="552"/>
      <c r="AF562" s="268"/>
      <c r="AG562" s="268"/>
      <c r="AH562" s="406"/>
      <c r="AI562" s="268"/>
      <c r="AJ562" s="552"/>
      <c r="AK562" s="552"/>
      <c r="AL562" s="268"/>
      <c r="AM562" s="268"/>
      <c r="AN562" s="406"/>
      <c r="AO562" s="268"/>
      <c r="AP562" s="401"/>
      <c r="AQ562" s="634"/>
      <c r="AR562" s="606"/>
      <c r="AS562" s="394"/>
      <c r="AT562" s="393"/>
      <c r="AU562" s="395"/>
      <c r="AV562" s="278"/>
      <c r="AW562" s="278"/>
      <c r="AX562" s="278"/>
      <c r="AY562" s="278"/>
      <c r="AZ562" s="278"/>
      <c r="BA562" s="278"/>
      <c r="BB562" s="278"/>
      <c r="BC562" s="278"/>
      <c r="BD562" s="278"/>
    </row>
    <row r="563" spans="1:56">
      <c r="A563" s="935" t="s">
        <v>3255</v>
      </c>
      <c r="B563" s="936"/>
      <c r="C563" s="936"/>
      <c r="D563" s="936"/>
      <c r="E563" s="408"/>
      <c r="F563" s="408"/>
      <c r="G563" s="408"/>
      <c r="H563" s="408"/>
      <c r="I563" s="400"/>
      <c r="J563" s="409"/>
      <c r="K563" s="400"/>
      <c r="L563" s="410"/>
      <c r="M563" s="410"/>
      <c r="N563" s="400"/>
      <c r="O563" s="400"/>
      <c r="P563" s="409"/>
      <c r="Q563" s="410"/>
      <c r="R563" s="410"/>
      <c r="S563" s="410"/>
      <c r="T563" s="400"/>
      <c r="U563" s="400"/>
      <c r="V563" s="409"/>
      <c r="W563" s="400"/>
      <c r="X563" s="410"/>
      <c r="Y563" s="410"/>
      <c r="Z563" s="400"/>
      <c r="AA563" s="400"/>
      <c r="AB563" s="409"/>
      <c r="AC563" s="400"/>
      <c r="AD563" s="410"/>
      <c r="AE563" s="410"/>
      <c r="AF563" s="400"/>
      <c r="AG563" s="400"/>
      <c r="AH563" s="409"/>
      <c r="AI563" s="400"/>
      <c r="AJ563" s="410"/>
      <c r="AK563" s="410"/>
      <c r="AL563" s="400"/>
      <c r="AM563" s="400"/>
      <c r="AN563" s="409"/>
      <c r="AO563" s="400"/>
      <c r="AP563" s="411"/>
      <c r="AQ563" s="634"/>
      <c r="AR563" s="606"/>
      <c r="AS563" s="394"/>
      <c r="AT563" s="393"/>
      <c r="AU563" s="395"/>
      <c r="AV563" s="278"/>
      <c r="AW563" s="278"/>
      <c r="AX563" s="278"/>
      <c r="AY563" s="278"/>
      <c r="AZ563" s="278"/>
      <c r="BA563" s="278"/>
      <c r="BB563" s="278"/>
      <c r="BC563" s="278"/>
      <c r="BD563" s="278"/>
    </row>
    <row r="564" spans="1:56">
      <c r="A564" s="937" t="s">
        <v>3256</v>
      </c>
      <c r="B564" s="938"/>
      <c r="C564" s="938"/>
      <c r="D564" s="938"/>
      <c r="E564" s="938"/>
      <c r="F564" s="938"/>
      <c r="G564" s="938"/>
      <c r="H564" s="938"/>
      <c r="I564" s="954" t="s">
        <v>114</v>
      </c>
      <c r="J564" s="522"/>
      <c r="K564" s="522" t="s">
        <v>17</v>
      </c>
      <c r="L564" s="522"/>
      <c r="M564" s="522"/>
      <c r="N564" s="522"/>
      <c r="O564" s="954" t="s">
        <v>114</v>
      </c>
      <c r="P564" s="522"/>
      <c r="Q564" s="522" t="s">
        <v>17</v>
      </c>
      <c r="R564" s="522"/>
      <c r="S564" s="522"/>
      <c r="T564" s="522"/>
      <c r="U564" s="954" t="s">
        <v>114</v>
      </c>
      <c r="V564" s="522"/>
      <c r="W564" s="522" t="s">
        <v>17</v>
      </c>
      <c r="X564" s="522"/>
      <c r="Y564" s="522"/>
      <c r="Z564" s="522"/>
      <c r="AA564" s="954" t="s">
        <v>114</v>
      </c>
      <c r="AB564" s="522"/>
      <c r="AC564" s="522" t="s">
        <v>17</v>
      </c>
      <c r="AD564" s="522"/>
      <c r="AE564" s="522"/>
      <c r="AF564" s="522"/>
      <c r="AG564" s="954" t="s">
        <v>114</v>
      </c>
      <c r="AH564" s="522"/>
      <c r="AI564" s="522" t="s">
        <v>17</v>
      </c>
      <c r="AJ564" s="522"/>
      <c r="AK564" s="522"/>
      <c r="AL564" s="522"/>
      <c r="AM564" s="954" t="s">
        <v>114</v>
      </c>
      <c r="AN564" s="522"/>
      <c r="AO564" s="522" t="s">
        <v>17</v>
      </c>
      <c r="AP564" s="522"/>
      <c r="AQ564" s="634"/>
      <c r="AR564" s="606"/>
      <c r="AS564" s="394"/>
      <c r="AT564" s="393"/>
      <c r="AU564" s="395"/>
      <c r="AV564" s="278"/>
      <c r="AW564" s="278"/>
      <c r="AX564" s="278"/>
      <c r="AY564" s="278"/>
      <c r="AZ564" s="278"/>
      <c r="BA564" s="278"/>
      <c r="BB564" s="278"/>
      <c r="BC564" s="278"/>
      <c r="BD564" s="278"/>
    </row>
    <row r="565" spans="1:56">
      <c r="A565" s="937"/>
      <c r="B565" s="938"/>
      <c r="C565" s="938"/>
      <c r="D565" s="938"/>
      <c r="E565" s="938"/>
      <c r="F565" s="938"/>
      <c r="G565" s="938"/>
      <c r="H565" s="938"/>
      <c r="I565" s="954"/>
      <c r="J565" s="522"/>
      <c r="K565" s="522" t="s">
        <v>32</v>
      </c>
      <c r="L565" s="522"/>
      <c r="M565" s="522"/>
      <c r="N565" s="522"/>
      <c r="O565" s="954"/>
      <c r="P565" s="522"/>
      <c r="Q565" s="522" t="s">
        <v>32</v>
      </c>
      <c r="R565" s="522"/>
      <c r="S565" s="522"/>
      <c r="T565" s="522"/>
      <c r="U565" s="954"/>
      <c r="V565" s="522"/>
      <c r="W565" s="522" t="s">
        <v>32</v>
      </c>
      <c r="X565" s="522"/>
      <c r="Y565" s="522"/>
      <c r="Z565" s="522"/>
      <c r="AA565" s="954"/>
      <c r="AB565" s="522"/>
      <c r="AC565" s="522" t="s">
        <v>32</v>
      </c>
      <c r="AD565" s="522"/>
      <c r="AE565" s="522"/>
      <c r="AF565" s="522"/>
      <c r="AG565" s="954"/>
      <c r="AH565" s="522"/>
      <c r="AI565" s="522" t="s">
        <v>32</v>
      </c>
      <c r="AJ565" s="522"/>
      <c r="AK565" s="522"/>
      <c r="AL565" s="522"/>
      <c r="AM565" s="954"/>
      <c r="AN565" s="522"/>
      <c r="AO565" s="522" t="s">
        <v>32</v>
      </c>
      <c r="AP565" s="522"/>
      <c r="AQ565" s="634"/>
      <c r="AR565" s="606"/>
      <c r="AS565" s="394"/>
      <c r="AT565" s="393"/>
      <c r="AU565" s="395"/>
      <c r="AV565" s="278"/>
      <c r="AW565" s="278"/>
      <c r="AX565" s="278"/>
      <c r="AY565" s="278"/>
      <c r="AZ565" s="278"/>
      <c r="BA565" s="278"/>
      <c r="BB565" s="278"/>
      <c r="BC565" s="278"/>
      <c r="BD565" s="278"/>
    </row>
    <row r="566" spans="1:56">
      <c r="A566" s="937"/>
      <c r="B566" s="938"/>
      <c r="C566" s="938"/>
      <c r="D566" s="938"/>
      <c r="E566" s="938"/>
      <c r="F566" s="938"/>
      <c r="G566" s="938"/>
      <c r="H566" s="938"/>
      <c r="I566" s="954" t="s">
        <v>115</v>
      </c>
      <c r="J566" s="522"/>
      <c r="K566" s="522" t="s">
        <v>17</v>
      </c>
      <c r="L566" s="522"/>
      <c r="M566" s="522"/>
      <c r="N566" s="522"/>
      <c r="O566" s="954" t="s">
        <v>115</v>
      </c>
      <c r="P566" s="522"/>
      <c r="Q566" s="522" t="s">
        <v>17</v>
      </c>
      <c r="R566" s="522"/>
      <c r="S566" s="522"/>
      <c r="T566" s="522"/>
      <c r="U566" s="954" t="s">
        <v>115</v>
      </c>
      <c r="V566" s="522"/>
      <c r="W566" s="522" t="s">
        <v>17</v>
      </c>
      <c r="X566" s="522"/>
      <c r="Y566" s="522"/>
      <c r="Z566" s="522"/>
      <c r="AA566" s="954" t="s">
        <v>115</v>
      </c>
      <c r="AB566" s="522"/>
      <c r="AC566" s="522" t="s">
        <v>17</v>
      </c>
      <c r="AD566" s="522"/>
      <c r="AE566" s="522"/>
      <c r="AF566" s="522"/>
      <c r="AG566" s="954" t="s">
        <v>115</v>
      </c>
      <c r="AH566" s="522"/>
      <c r="AI566" s="522" t="s">
        <v>17</v>
      </c>
      <c r="AJ566" s="522"/>
      <c r="AK566" s="522"/>
      <c r="AL566" s="522"/>
      <c r="AM566" s="954" t="s">
        <v>115</v>
      </c>
      <c r="AN566" s="522"/>
      <c r="AO566" s="522" t="s">
        <v>17</v>
      </c>
      <c r="AP566" s="522"/>
      <c r="AQ566" s="634"/>
      <c r="AR566" s="606"/>
      <c r="AS566" s="394"/>
      <c r="AT566" s="393"/>
      <c r="AU566" s="395"/>
      <c r="AV566" s="278"/>
      <c r="AW566" s="278"/>
      <c r="AX566" s="278"/>
      <c r="AY566" s="278"/>
      <c r="AZ566" s="278"/>
      <c r="BA566" s="278"/>
      <c r="BB566" s="278"/>
      <c r="BC566" s="278"/>
      <c r="BD566" s="278"/>
    </row>
    <row r="567" spans="1:56">
      <c r="A567" s="937"/>
      <c r="B567" s="938"/>
      <c r="C567" s="938"/>
      <c r="D567" s="938"/>
      <c r="E567" s="938"/>
      <c r="F567" s="938"/>
      <c r="G567" s="938"/>
      <c r="H567" s="938"/>
      <c r="I567" s="954"/>
      <c r="J567" s="522"/>
      <c r="K567" s="522" t="s">
        <v>32</v>
      </c>
      <c r="L567" s="522"/>
      <c r="M567" s="522"/>
      <c r="N567" s="522"/>
      <c r="O567" s="954"/>
      <c r="P567" s="522"/>
      <c r="Q567" s="522" t="s">
        <v>32</v>
      </c>
      <c r="R567" s="522"/>
      <c r="S567" s="522"/>
      <c r="T567" s="522"/>
      <c r="U567" s="954"/>
      <c r="V567" s="522"/>
      <c r="W567" s="522" t="s">
        <v>32</v>
      </c>
      <c r="X567" s="522"/>
      <c r="Y567" s="522"/>
      <c r="Z567" s="522"/>
      <c r="AA567" s="954"/>
      <c r="AB567" s="522"/>
      <c r="AC567" s="522" t="s">
        <v>32</v>
      </c>
      <c r="AD567" s="522"/>
      <c r="AE567" s="522"/>
      <c r="AF567" s="522"/>
      <c r="AG567" s="954"/>
      <c r="AH567" s="522"/>
      <c r="AI567" s="522" t="s">
        <v>32</v>
      </c>
      <c r="AJ567" s="522"/>
      <c r="AK567" s="522"/>
      <c r="AL567" s="522"/>
      <c r="AM567" s="954"/>
      <c r="AN567" s="522"/>
      <c r="AO567" s="522" t="s">
        <v>32</v>
      </c>
      <c r="AP567" s="522"/>
      <c r="AQ567" s="634"/>
      <c r="AR567" s="606"/>
      <c r="AS567" s="394"/>
      <c r="AT567" s="393"/>
      <c r="AU567" s="395"/>
      <c r="AV567" s="278"/>
      <c r="AW567" s="278"/>
      <c r="AX567" s="278"/>
      <c r="AY567" s="278"/>
      <c r="AZ567" s="278"/>
      <c r="BA567" s="278"/>
      <c r="BB567" s="278"/>
      <c r="BC567" s="278"/>
      <c r="BD567" s="278"/>
    </row>
    <row r="568" spans="1:56">
      <c r="A568" s="937"/>
      <c r="B568" s="938"/>
      <c r="C568" s="938"/>
      <c r="D568" s="938"/>
      <c r="E568" s="938"/>
      <c r="F568" s="938"/>
      <c r="G568" s="938"/>
      <c r="H568" s="938"/>
      <c r="I568" s="954" t="s">
        <v>116</v>
      </c>
      <c r="J568" s="522"/>
      <c r="K568" s="522" t="s">
        <v>17</v>
      </c>
      <c r="L568" s="522"/>
      <c r="M568" s="522"/>
      <c r="N568" s="522"/>
      <c r="O568" s="954" t="s">
        <v>116</v>
      </c>
      <c r="P568" s="522"/>
      <c r="Q568" s="522" t="s">
        <v>17</v>
      </c>
      <c r="R568" s="522"/>
      <c r="S568" s="522"/>
      <c r="T568" s="522"/>
      <c r="U568" s="954" t="s">
        <v>116</v>
      </c>
      <c r="V568" s="522"/>
      <c r="W568" s="522" t="s">
        <v>17</v>
      </c>
      <c r="X568" s="522"/>
      <c r="Y568" s="522"/>
      <c r="Z568" s="522"/>
      <c r="AA568" s="954" t="s">
        <v>116</v>
      </c>
      <c r="AB568" s="522"/>
      <c r="AC568" s="522" t="s">
        <v>17</v>
      </c>
      <c r="AD568" s="522"/>
      <c r="AE568" s="522"/>
      <c r="AF568" s="522"/>
      <c r="AG568" s="954" t="s">
        <v>116</v>
      </c>
      <c r="AH568" s="522"/>
      <c r="AI568" s="522" t="s">
        <v>17</v>
      </c>
      <c r="AJ568" s="522"/>
      <c r="AK568" s="522"/>
      <c r="AL568" s="522"/>
      <c r="AM568" s="954" t="s">
        <v>116</v>
      </c>
      <c r="AN568" s="522"/>
      <c r="AO568" s="522" t="s">
        <v>17</v>
      </c>
      <c r="AP568" s="522"/>
      <c r="AQ568" s="634"/>
      <c r="AR568" s="606"/>
      <c r="AS568" s="394"/>
      <c r="AT568" s="393"/>
      <c r="AU568" s="395"/>
      <c r="AV568" s="278"/>
      <c r="AW568" s="278"/>
      <c r="AX568" s="278"/>
      <c r="AY568" s="278"/>
      <c r="AZ568" s="278"/>
      <c r="BA568" s="278"/>
      <c r="BB568" s="278"/>
      <c r="BC568" s="278"/>
      <c r="BD568" s="278"/>
    </row>
    <row r="569" spans="1:56">
      <c r="A569" s="937"/>
      <c r="B569" s="938"/>
      <c r="C569" s="938"/>
      <c r="D569" s="938"/>
      <c r="E569" s="938"/>
      <c r="F569" s="938"/>
      <c r="G569" s="938"/>
      <c r="H569" s="938"/>
      <c r="I569" s="954"/>
      <c r="J569" s="522"/>
      <c r="K569" s="522" t="s">
        <v>32</v>
      </c>
      <c r="L569" s="522"/>
      <c r="M569" s="522"/>
      <c r="N569" s="522"/>
      <c r="O569" s="954"/>
      <c r="P569" s="522"/>
      <c r="Q569" s="522" t="s">
        <v>32</v>
      </c>
      <c r="R569" s="522"/>
      <c r="S569" s="522"/>
      <c r="T569" s="522"/>
      <c r="U569" s="954"/>
      <c r="V569" s="522"/>
      <c r="W569" s="522" t="s">
        <v>32</v>
      </c>
      <c r="X569" s="522"/>
      <c r="Y569" s="522"/>
      <c r="Z569" s="522"/>
      <c r="AA569" s="954"/>
      <c r="AB569" s="522"/>
      <c r="AC569" s="522" t="s">
        <v>32</v>
      </c>
      <c r="AD569" s="522"/>
      <c r="AE569" s="522"/>
      <c r="AF569" s="522"/>
      <c r="AG569" s="954"/>
      <c r="AH569" s="522"/>
      <c r="AI569" s="522" t="s">
        <v>32</v>
      </c>
      <c r="AJ569" s="522"/>
      <c r="AK569" s="522"/>
      <c r="AL569" s="522"/>
      <c r="AM569" s="954"/>
      <c r="AN569" s="522"/>
      <c r="AO569" s="522" t="s">
        <v>32</v>
      </c>
      <c r="AP569" s="522"/>
      <c r="AQ569" s="634"/>
      <c r="AR569" s="606"/>
      <c r="AS569" s="394"/>
      <c r="AT569" s="393"/>
      <c r="AU569" s="395"/>
      <c r="AV569" s="278"/>
      <c r="AW569" s="278"/>
      <c r="AX569" s="278"/>
      <c r="AY569" s="278"/>
      <c r="AZ569" s="278"/>
      <c r="BA569" s="278"/>
      <c r="BB569" s="278"/>
      <c r="BC569" s="278"/>
      <c r="BD569" s="278"/>
    </row>
    <row r="570" spans="1:56">
      <c r="A570" s="937"/>
      <c r="B570" s="938"/>
      <c r="C570" s="938"/>
      <c r="D570" s="938"/>
      <c r="E570" s="938"/>
      <c r="F570" s="938"/>
      <c r="G570" s="938"/>
      <c r="H570" s="938"/>
      <c r="I570" s="954" t="s">
        <v>117</v>
      </c>
      <c r="J570" s="522"/>
      <c r="K570" s="522" t="s">
        <v>17</v>
      </c>
      <c r="L570" s="522"/>
      <c r="M570" s="522"/>
      <c r="N570" s="522"/>
      <c r="O570" s="954" t="s">
        <v>117</v>
      </c>
      <c r="P570" s="522"/>
      <c r="Q570" s="522" t="s">
        <v>17</v>
      </c>
      <c r="R570" s="522"/>
      <c r="S570" s="522"/>
      <c r="T570" s="522"/>
      <c r="U570" s="954" t="s">
        <v>117</v>
      </c>
      <c r="V570" s="522"/>
      <c r="W570" s="522" t="s">
        <v>17</v>
      </c>
      <c r="X570" s="522"/>
      <c r="Y570" s="522"/>
      <c r="Z570" s="522"/>
      <c r="AA570" s="954" t="s">
        <v>117</v>
      </c>
      <c r="AB570" s="522"/>
      <c r="AC570" s="522" t="s">
        <v>17</v>
      </c>
      <c r="AD570" s="522"/>
      <c r="AE570" s="522"/>
      <c r="AF570" s="522"/>
      <c r="AG570" s="954" t="s">
        <v>117</v>
      </c>
      <c r="AH570" s="522"/>
      <c r="AI570" s="522" t="s">
        <v>17</v>
      </c>
      <c r="AJ570" s="522"/>
      <c r="AK570" s="522"/>
      <c r="AL570" s="522"/>
      <c r="AM570" s="954" t="s">
        <v>117</v>
      </c>
      <c r="AN570" s="522"/>
      <c r="AO570" s="522" t="s">
        <v>17</v>
      </c>
      <c r="AP570" s="522"/>
      <c r="AQ570" s="634"/>
      <c r="AR570" s="606"/>
      <c r="AS570" s="394"/>
      <c r="AT570" s="393"/>
      <c r="AU570" s="395"/>
      <c r="AV570" s="278"/>
      <c r="AW570" s="278"/>
      <c r="AX570" s="278"/>
      <c r="AY570" s="278"/>
      <c r="AZ570" s="278"/>
      <c r="BA570" s="278"/>
      <c r="BB570" s="278"/>
      <c r="BC570" s="278"/>
      <c r="BD570" s="278"/>
    </row>
    <row r="571" spans="1:56">
      <c r="A571" s="937"/>
      <c r="B571" s="938"/>
      <c r="C571" s="938"/>
      <c r="D571" s="938"/>
      <c r="E571" s="938"/>
      <c r="F571" s="938"/>
      <c r="G571" s="938"/>
      <c r="H571" s="938"/>
      <c r="I571" s="954"/>
      <c r="J571" s="522"/>
      <c r="K571" s="522" t="s">
        <v>32</v>
      </c>
      <c r="L571" s="522"/>
      <c r="M571" s="522"/>
      <c r="N571" s="522"/>
      <c r="O571" s="954"/>
      <c r="P571" s="522"/>
      <c r="Q571" s="522" t="s">
        <v>32</v>
      </c>
      <c r="R571" s="522"/>
      <c r="S571" s="522"/>
      <c r="T571" s="522"/>
      <c r="U571" s="954"/>
      <c r="V571" s="522"/>
      <c r="W571" s="522" t="s">
        <v>32</v>
      </c>
      <c r="X571" s="522"/>
      <c r="Y571" s="522"/>
      <c r="Z571" s="522"/>
      <c r="AA571" s="954"/>
      <c r="AB571" s="522"/>
      <c r="AC571" s="522" t="s">
        <v>32</v>
      </c>
      <c r="AD571" s="522"/>
      <c r="AE571" s="522"/>
      <c r="AF571" s="522"/>
      <c r="AG571" s="954"/>
      <c r="AH571" s="522"/>
      <c r="AI571" s="522" t="s">
        <v>32</v>
      </c>
      <c r="AJ571" s="522"/>
      <c r="AK571" s="522"/>
      <c r="AL571" s="522"/>
      <c r="AM571" s="954"/>
      <c r="AN571" s="522"/>
      <c r="AO571" s="522" t="s">
        <v>32</v>
      </c>
      <c r="AP571" s="522"/>
      <c r="AQ571" s="634"/>
      <c r="AR571" s="606"/>
      <c r="AS571" s="394"/>
      <c r="AT571" s="393"/>
      <c r="AU571" s="395"/>
      <c r="AV571" s="278"/>
      <c r="AW571" s="278"/>
      <c r="AX571" s="278"/>
      <c r="AY571" s="278"/>
      <c r="AZ571" s="278"/>
      <c r="BA571" s="278"/>
      <c r="BB571" s="278"/>
      <c r="BC571" s="278"/>
      <c r="BD571" s="278"/>
    </row>
    <row r="572" spans="1:56">
      <c r="A572" s="937"/>
      <c r="B572" s="938"/>
      <c r="C572" s="938"/>
      <c r="D572" s="938"/>
      <c r="E572" s="938"/>
      <c r="F572" s="938"/>
      <c r="G572" s="938"/>
      <c r="H572" s="938"/>
      <c r="I572" s="939" t="s">
        <v>462</v>
      </c>
      <c r="J572" s="522"/>
      <c r="K572" s="522" t="s">
        <v>32</v>
      </c>
      <c r="L572" s="939"/>
      <c r="M572" s="522"/>
      <c r="N572" s="522"/>
      <c r="O572" s="939" t="s">
        <v>462</v>
      </c>
      <c r="P572" s="522"/>
      <c r="Q572" s="522" t="s">
        <v>32</v>
      </c>
      <c r="R572" s="939"/>
      <c r="S572" s="522"/>
      <c r="T572" s="522"/>
      <c r="U572" s="939" t="s">
        <v>462</v>
      </c>
      <c r="V572" s="522"/>
      <c r="W572" s="522" t="s">
        <v>32</v>
      </c>
      <c r="X572" s="939"/>
      <c r="Y572" s="522"/>
      <c r="Z572" s="522"/>
      <c r="AA572" s="939" t="s">
        <v>462</v>
      </c>
      <c r="AB572" s="522"/>
      <c r="AC572" s="522" t="s">
        <v>32</v>
      </c>
      <c r="AD572" s="939"/>
      <c r="AE572" s="522"/>
      <c r="AF572" s="522"/>
      <c r="AG572" s="939" t="s">
        <v>462</v>
      </c>
      <c r="AH572" s="522"/>
      <c r="AI572" s="522" t="s">
        <v>32</v>
      </c>
      <c r="AJ572" s="939"/>
      <c r="AK572" s="522"/>
      <c r="AL572" s="522"/>
      <c r="AM572" s="939" t="s">
        <v>462</v>
      </c>
      <c r="AN572" s="522"/>
      <c r="AO572" s="522" t="s">
        <v>32</v>
      </c>
      <c r="AP572" s="522"/>
      <c r="AQ572" s="634"/>
      <c r="AR572" s="606"/>
      <c r="AS572" s="394"/>
      <c r="AT572" s="393"/>
      <c r="AU572" s="395"/>
      <c r="AV572" s="278"/>
      <c r="AW572" s="278"/>
      <c r="AX572" s="278"/>
      <c r="AY572" s="278"/>
      <c r="AZ572" s="278"/>
      <c r="BA572" s="278"/>
      <c r="BB572" s="278"/>
      <c r="BC572" s="278"/>
      <c r="BD572" s="278"/>
    </row>
    <row r="573" spans="1:56">
      <c r="A573" s="937"/>
      <c r="B573" s="938"/>
      <c r="C573" s="938"/>
      <c r="D573" s="938"/>
      <c r="E573" s="938"/>
      <c r="F573" s="938"/>
      <c r="G573" s="938"/>
      <c r="H573" s="938"/>
      <c r="I573" s="939"/>
      <c r="J573" s="522"/>
      <c r="K573" s="522" t="s">
        <v>17</v>
      </c>
      <c r="L573" s="939"/>
      <c r="M573" s="522"/>
      <c r="N573" s="522"/>
      <c r="O573" s="939"/>
      <c r="P573" s="522"/>
      <c r="Q573" s="522" t="s">
        <v>17</v>
      </c>
      <c r="R573" s="939"/>
      <c r="S573" s="522"/>
      <c r="T573" s="522"/>
      <c r="U573" s="939"/>
      <c r="V573" s="522"/>
      <c r="W573" s="522" t="s">
        <v>17</v>
      </c>
      <c r="X573" s="939"/>
      <c r="Y573" s="522"/>
      <c r="Z573" s="522"/>
      <c r="AA573" s="939"/>
      <c r="AB573" s="522"/>
      <c r="AC573" s="522" t="s">
        <v>17</v>
      </c>
      <c r="AD573" s="939"/>
      <c r="AE573" s="522"/>
      <c r="AF573" s="522"/>
      <c r="AG573" s="939"/>
      <c r="AH573" s="522"/>
      <c r="AI573" s="522" t="s">
        <v>17</v>
      </c>
      <c r="AJ573" s="939"/>
      <c r="AK573" s="522"/>
      <c r="AL573" s="522"/>
      <c r="AM573" s="939"/>
      <c r="AN573" s="522"/>
      <c r="AO573" s="522" t="s">
        <v>17</v>
      </c>
      <c r="AP573" s="522"/>
      <c r="AQ573" s="634"/>
      <c r="AR573" s="606"/>
      <c r="AS573" s="394"/>
      <c r="AT573" s="393"/>
      <c r="AU573" s="395"/>
      <c r="AV573" s="278"/>
      <c r="AW573" s="278"/>
      <c r="AX573" s="278"/>
      <c r="AY573" s="278"/>
      <c r="AZ573" s="278"/>
      <c r="BA573" s="278"/>
      <c r="BB573" s="278"/>
      <c r="BC573" s="278"/>
      <c r="BD573" s="278"/>
    </row>
    <row r="574" spans="1:56" ht="42.75">
      <c r="A574" s="937"/>
      <c r="B574" s="938"/>
      <c r="C574" s="938"/>
      <c r="D574" s="938"/>
      <c r="E574" s="938"/>
      <c r="F574" s="938"/>
      <c r="G574" s="938"/>
      <c r="H574" s="938"/>
      <c r="I574" s="412" t="s">
        <v>120</v>
      </c>
      <c r="J574" s="522"/>
      <c r="K574" s="522" t="s">
        <v>118</v>
      </c>
      <c r="L574" s="522"/>
      <c r="M574" s="522"/>
      <c r="N574" s="522"/>
      <c r="O574" s="412" t="s">
        <v>120</v>
      </c>
      <c r="P574" s="522"/>
      <c r="Q574" s="522" t="s">
        <v>118</v>
      </c>
      <c r="R574" s="522"/>
      <c r="S574" s="522"/>
      <c r="T574" s="522"/>
      <c r="U574" s="412" t="s">
        <v>120</v>
      </c>
      <c r="V574" s="522"/>
      <c r="W574" s="522" t="s">
        <v>118</v>
      </c>
      <c r="X574" s="522"/>
      <c r="Y574" s="522"/>
      <c r="Z574" s="522"/>
      <c r="AA574" s="412" t="s">
        <v>120</v>
      </c>
      <c r="AB574" s="522"/>
      <c r="AC574" s="522" t="s">
        <v>118</v>
      </c>
      <c r="AD574" s="522"/>
      <c r="AE574" s="522"/>
      <c r="AF574" s="522"/>
      <c r="AG574" s="412" t="s">
        <v>120</v>
      </c>
      <c r="AH574" s="522"/>
      <c r="AI574" s="522" t="s">
        <v>118</v>
      </c>
      <c r="AJ574" s="522"/>
      <c r="AK574" s="522"/>
      <c r="AL574" s="522"/>
      <c r="AM574" s="412" t="s">
        <v>120</v>
      </c>
      <c r="AN574" s="522"/>
      <c r="AO574" s="522" t="s">
        <v>118</v>
      </c>
      <c r="AP574" s="522"/>
      <c r="AQ574" s="634"/>
      <c r="AR574" s="606"/>
      <c r="AS574" s="394"/>
      <c r="AT574" s="393"/>
      <c r="AU574" s="395"/>
      <c r="AV574" s="278"/>
      <c r="AW574" s="278"/>
      <c r="AX574" s="278"/>
      <c r="AY574" s="278"/>
      <c r="AZ574" s="278"/>
      <c r="BA574" s="278"/>
      <c r="BB574" s="278"/>
      <c r="BC574" s="278"/>
      <c r="BD574" s="278"/>
    </row>
    <row r="575" spans="1:56" ht="28.5">
      <c r="A575" s="937"/>
      <c r="B575" s="938"/>
      <c r="C575" s="938"/>
      <c r="D575" s="938"/>
      <c r="E575" s="938"/>
      <c r="F575" s="938"/>
      <c r="G575" s="938"/>
      <c r="H575" s="938"/>
      <c r="I575" s="412" t="s">
        <v>93</v>
      </c>
      <c r="J575" s="522"/>
      <c r="K575" s="522" t="s">
        <v>118</v>
      </c>
      <c r="L575" s="522"/>
      <c r="M575" s="522"/>
      <c r="N575" s="522"/>
      <c r="O575" s="412" t="s">
        <v>93</v>
      </c>
      <c r="P575" s="522"/>
      <c r="Q575" s="522" t="s">
        <v>118</v>
      </c>
      <c r="R575" s="522"/>
      <c r="S575" s="522"/>
      <c r="T575" s="522"/>
      <c r="U575" s="412" t="s">
        <v>93</v>
      </c>
      <c r="V575" s="522"/>
      <c r="W575" s="522" t="s">
        <v>118</v>
      </c>
      <c r="X575" s="522"/>
      <c r="Y575" s="522"/>
      <c r="Z575" s="522"/>
      <c r="AA575" s="412" t="s">
        <v>93</v>
      </c>
      <c r="AB575" s="522"/>
      <c r="AC575" s="522" t="s">
        <v>118</v>
      </c>
      <c r="AD575" s="522"/>
      <c r="AE575" s="522"/>
      <c r="AF575" s="522"/>
      <c r="AG575" s="412" t="s">
        <v>93</v>
      </c>
      <c r="AH575" s="522"/>
      <c r="AI575" s="522" t="s">
        <v>118</v>
      </c>
      <c r="AJ575" s="522"/>
      <c r="AK575" s="522"/>
      <c r="AL575" s="522"/>
      <c r="AM575" s="412" t="s">
        <v>93</v>
      </c>
      <c r="AN575" s="522"/>
      <c r="AO575" s="522" t="s">
        <v>118</v>
      </c>
      <c r="AP575" s="522"/>
      <c r="AQ575" s="634"/>
      <c r="AR575" s="606"/>
      <c r="AS575" s="394"/>
      <c r="AT575" s="393"/>
      <c r="AU575" s="395"/>
      <c r="AV575" s="278"/>
      <c r="AW575" s="278"/>
      <c r="AX575" s="278"/>
      <c r="AY575" s="278"/>
      <c r="AZ575" s="278"/>
      <c r="BA575" s="278"/>
      <c r="BB575" s="278"/>
      <c r="BC575" s="278"/>
      <c r="BD575" s="278"/>
    </row>
    <row r="576" spans="1:56" ht="42.75">
      <c r="A576" s="937"/>
      <c r="B576" s="938"/>
      <c r="C576" s="938"/>
      <c r="D576" s="938"/>
      <c r="E576" s="938"/>
      <c r="F576" s="938"/>
      <c r="G576" s="938"/>
      <c r="H576" s="938"/>
      <c r="I576" s="412" t="s">
        <v>463</v>
      </c>
      <c r="J576" s="522"/>
      <c r="K576" s="522" t="s">
        <v>2681</v>
      </c>
      <c r="L576" s="522"/>
      <c r="M576" s="522"/>
      <c r="N576" s="522"/>
      <c r="O576" s="412" t="s">
        <v>463</v>
      </c>
      <c r="P576" s="522"/>
      <c r="Q576" s="522" t="s">
        <v>2681</v>
      </c>
      <c r="R576" s="522"/>
      <c r="S576" s="522"/>
      <c r="T576" s="522"/>
      <c r="U576" s="412" t="s">
        <v>463</v>
      </c>
      <c r="V576" s="522"/>
      <c r="W576" s="522" t="s">
        <v>2681</v>
      </c>
      <c r="X576" s="522"/>
      <c r="Y576" s="522"/>
      <c r="Z576" s="522"/>
      <c r="AA576" s="412" t="s">
        <v>463</v>
      </c>
      <c r="AB576" s="522"/>
      <c r="AC576" s="522" t="s">
        <v>2681</v>
      </c>
      <c r="AD576" s="522"/>
      <c r="AE576" s="522"/>
      <c r="AF576" s="522"/>
      <c r="AG576" s="412" t="s">
        <v>463</v>
      </c>
      <c r="AH576" s="522"/>
      <c r="AI576" s="522" t="s">
        <v>2681</v>
      </c>
      <c r="AJ576" s="522"/>
      <c r="AK576" s="522"/>
      <c r="AL576" s="522"/>
      <c r="AM576" s="412" t="s">
        <v>463</v>
      </c>
      <c r="AN576" s="522"/>
      <c r="AO576" s="522" t="s">
        <v>2681</v>
      </c>
      <c r="AP576" s="522"/>
      <c r="AQ576" s="634"/>
      <c r="AR576" s="606"/>
      <c r="AS576" s="394"/>
      <c r="AT576" s="393"/>
      <c r="AU576" s="395"/>
      <c r="AV576" s="278"/>
      <c r="AW576" s="278"/>
      <c r="AX576" s="278"/>
      <c r="AY576" s="278"/>
      <c r="AZ576" s="278"/>
      <c r="BA576" s="278"/>
      <c r="BB576" s="278"/>
      <c r="BC576" s="278"/>
      <c r="BD576" s="278"/>
    </row>
    <row r="577" spans="1:56">
      <c r="A577" s="937"/>
      <c r="B577" s="938"/>
      <c r="C577" s="938"/>
      <c r="D577" s="938"/>
      <c r="E577" s="938"/>
      <c r="F577" s="938"/>
      <c r="G577" s="938"/>
      <c r="H577" s="938"/>
      <c r="I577" s="412" t="s">
        <v>464</v>
      </c>
      <c r="J577" s="522"/>
      <c r="K577" s="522" t="s">
        <v>32</v>
      </c>
      <c r="L577" s="522"/>
      <c r="M577" s="522"/>
      <c r="N577" s="522"/>
      <c r="O577" s="412" t="s">
        <v>464</v>
      </c>
      <c r="P577" s="522"/>
      <c r="Q577" s="522" t="s">
        <v>32</v>
      </c>
      <c r="R577" s="522"/>
      <c r="S577" s="522"/>
      <c r="T577" s="522"/>
      <c r="U577" s="412" t="s">
        <v>464</v>
      </c>
      <c r="V577" s="522"/>
      <c r="W577" s="522" t="s">
        <v>32</v>
      </c>
      <c r="X577" s="522"/>
      <c r="Y577" s="522"/>
      <c r="Z577" s="522"/>
      <c r="AA577" s="412" t="s">
        <v>464</v>
      </c>
      <c r="AB577" s="522"/>
      <c r="AC577" s="522" t="s">
        <v>32</v>
      </c>
      <c r="AD577" s="522"/>
      <c r="AE577" s="522"/>
      <c r="AF577" s="522"/>
      <c r="AG577" s="412" t="s">
        <v>464</v>
      </c>
      <c r="AH577" s="522"/>
      <c r="AI577" s="522" t="s">
        <v>32</v>
      </c>
      <c r="AJ577" s="522"/>
      <c r="AK577" s="522"/>
      <c r="AL577" s="522"/>
      <c r="AM577" s="412" t="s">
        <v>464</v>
      </c>
      <c r="AN577" s="522"/>
      <c r="AO577" s="522" t="s">
        <v>32</v>
      </c>
      <c r="AP577" s="522"/>
      <c r="AQ577" s="634"/>
      <c r="AR577" s="606"/>
      <c r="AS577" s="394"/>
      <c r="AT577" s="393"/>
      <c r="AU577" s="395"/>
      <c r="AV577" s="278"/>
      <c r="AW577" s="278"/>
      <c r="AX577" s="278"/>
      <c r="AY577" s="278"/>
      <c r="AZ577" s="278"/>
      <c r="BA577" s="278"/>
      <c r="BB577" s="278"/>
      <c r="BC577" s="278"/>
      <c r="BD577" s="278"/>
    </row>
    <row r="578" spans="1:56" ht="28.5">
      <c r="A578" s="937"/>
      <c r="B578" s="938"/>
      <c r="C578" s="938"/>
      <c r="D578" s="938"/>
      <c r="E578" s="938"/>
      <c r="F578" s="938"/>
      <c r="G578" s="938"/>
      <c r="H578" s="938"/>
      <c r="I578" s="412" t="s">
        <v>68</v>
      </c>
      <c r="J578" s="522"/>
      <c r="K578" s="522" t="s">
        <v>2681</v>
      </c>
      <c r="L578" s="522"/>
      <c r="M578" s="522"/>
      <c r="N578" s="522"/>
      <c r="O578" s="412" t="s">
        <v>68</v>
      </c>
      <c r="P578" s="522"/>
      <c r="Q578" s="522" t="s">
        <v>2681</v>
      </c>
      <c r="R578" s="522"/>
      <c r="S578" s="522"/>
      <c r="T578" s="522"/>
      <c r="U578" s="412" t="s">
        <v>68</v>
      </c>
      <c r="V578" s="522"/>
      <c r="W578" s="522" t="s">
        <v>2681</v>
      </c>
      <c r="X578" s="522"/>
      <c r="Y578" s="522"/>
      <c r="Z578" s="522"/>
      <c r="AA578" s="412" t="s">
        <v>68</v>
      </c>
      <c r="AB578" s="522"/>
      <c r="AC578" s="522" t="s">
        <v>2681</v>
      </c>
      <c r="AD578" s="522"/>
      <c r="AE578" s="522"/>
      <c r="AF578" s="522"/>
      <c r="AG578" s="412" t="s">
        <v>68</v>
      </c>
      <c r="AH578" s="522"/>
      <c r="AI578" s="522" t="s">
        <v>2681</v>
      </c>
      <c r="AJ578" s="522"/>
      <c r="AK578" s="522"/>
      <c r="AL578" s="522"/>
      <c r="AM578" s="412" t="s">
        <v>68</v>
      </c>
      <c r="AN578" s="522"/>
      <c r="AO578" s="522" t="s">
        <v>2681</v>
      </c>
      <c r="AP578" s="522"/>
      <c r="AQ578" s="634"/>
      <c r="AR578" s="606"/>
      <c r="AS578" s="394"/>
      <c r="AT578" s="393"/>
      <c r="AU578" s="395"/>
      <c r="AV578" s="278"/>
      <c r="AW578" s="278"/>
      <c r="AX578" s="278"/>
      <c r="AY578" s="278"/>
      <c r="AZ578" s="278"/>
      <c r="BA578" s="278"/>
      <c r="BB578" s="278"/>
      <c r="BC578" s="278"/>
      <c r="BD578" s="278"/>
    </row>
    <row r="579" spans="1:56" ht="42.75">
      <c r="A579" s="937"/>
      <c r="B579" s="938"/>
      <c r="C579" s="938"/>
      <c r="D579" s="938"/>
      <c r="E579" s="938"/>
      <c r="F579" s="938"/>
      <c r="G579" s="938"/>
      <c r="H579" s="938"/>
      <c r="I579" s="412" t="s">
        <v>465</v>
      </c>
      <c r="J579" s="522"/>
      <c r="K579" s="522" t="s">
        <v>2681</v>
      </c>
      <c r="L579" s="412"/>
      <c r="M579" s="412"/>
      <c r="N579" s="412"/>
      <c r="O579" s="412" t="s">
        <v>465</v>
      </c>
      <c r="P579" s="522"/>
      <c r="Q579" s="522" t="s">
        <v>2681</v>
      </c>
      <c r="R579" s="412"/>
      <c r="S579" s="412"/>
      <c r="T579" s="412"/>
      <c r="U579" s="412" t="s">
        <v>465</v>
      </c>
      <c r="V579" s="522"/>
      <c r="W579" s="522" t="s">
        <v>2681</v>
      </c>
      <c r="X579" s="412"/>
      <c r="Y579" s="412"/>
      <c r="Z579" s="412"/>
      <c r="AA579" s="412" t="s">
        <v>465</v>
      </c>
      <c r="AB579" s="522"/>
      <c r="AC579" s="522" t="s">
        <v>2681</v>
      </c>
      <c r="AD579" s="412"/>
      <c r="AE579" s="412"/>
      <c r="AF579" s="412"/>
      <c r="AG579" s="412" t="s">
        <v>465</v>
      </c>
      <c r="AH579" s="522"/>
      <c r="AI579" s="522" t="s">
        <v>2681</v>
      </c>
      <c r="AJ579" s="412"/>
      <c r="AK579" s="412"/>
      <c r="AL579" s="412"/>
      <c r="AM579" s="412" t="s">
        <v>465</v>
      </c>
      <c r="AN579" s="522"/>
      <c r="AO579" s="522" t="s">
        <v>2681</v>
      </c>
      <c r="AP579" s="522"/>
      <c r="AQ579" s="634"/>
      <c r="AR579" s="606"/>
      <c r="AS579" s="394"/>
      <c r="AT579" s="393"/>
      <c r="AU579" s="395"/>
      <c r="AV579" s="278"/>
      <c r="AW579" s="278"/>
      <c r="AX579" s="278"/>
      <c r="AY579" s="278"/>
      <c r="AZ579" s="278"/>
      <c r="BA579" s="278"/>
      <c r="BB579" s="278"/>
      <c r="BC579" s="278"/>
      <c r="BD579" s="278"/>
    </row>
    <row r="580" spans="1:56" ht="28.5">
      <c r="A580" s="937"/>
      <c r="B580" s="938"/>
      <c r="C580" s="938"/>
      <c r="D580" s="938"/>
      <c r="E580" s="938"/>
      <c r="F580" s="938"/>
      <c r="G580" s="938"/>
      <c r="H580" s="938"/>
      <c r="I580" s="412" t="s">
        <v>112</v>
      </c>
      <c r="J580" s="522"/>
      <c r="K580" s="522" t="s">
        <v>32</v>
      </c>
      <c r="L580" s="412"/>
      <c r="M580" s="412"/>
      <c r="N580" s="412"/>
      <c r="O580" s="412" t="s">
        <v>112</v>
      </c>
      <c r="P580" s="522"/>
      <c r="Q580" s="522" t="s">
        <v>32</v>
      </c>
      <c r="R580" s="412"/>
      <c r="S580" s="412"/>
      <c r="T580" s="412"/>
      <c r="U580" s="412" t="s">
        <v>112</v>
      </c>
      <c r="V580" s="522"/>
      <c r="W580" s="522" t="s">
        <v>32</v>
      </c>
      <c r="X580" s="412"/>
      <c r="Y580" s="412"/>
      <c r="Z580" s="412"/>
      <c r="AA580" s="412" t="s">
        <v>112</v>
      </c>
      <c r="AB580" s="522"/>
      <c r="AC580" s="522" t="s">
        <v>32</v>
      </c>
      <c r="AD580" s="412"/>
      <c r="AE580" s="412"/>
      <c r="AF580" s="412"/>
      <c r="AG580" s="412" t="s">
        <v>112</v>
      </c>
      <c r="AH580" s="522"/>
      <c r="AI580" s="522" t="s">
        <v>32</v>
      </c>
      <c r="AJ580" s="412"/>
      <c r="AK580" s="412"/>
      <c r="AL580" s="412"/>
      <c r="AM580" s="412" t="s">
        <v>112</v>
      </c>
      <c r="AN580" s="522"/>
      <c r="AO580" s="522" t="s">
        <v>32</v>
      </c>
      <c r="AP580" s="522"/>
      <c r="AQ580" s="634"/>
      <c r="AR580" s="606"/>
      <c r="AS580" s="394"/>
      <c r="AT580" s="393"/>
      <c r="AU580" s="395"/>
      <c r="AV580" s="278"/>
      <c r="AW580" s="278"/>
      <c r="AX580" s="278"/>
      <c r="AY580" s="278"/>
      <c r="AZ580" s="278"/>
      <c r="BA580" s="278"/>
      <c r="BB580" s="278"/>
      <c r="BC580" s="278"/>
      <c r="BD580" s="278"/>
    </row>
    <row r="581" spans="1:56" ht="42.75">
      <c r="A581" s="937"/>
      <c r="B581" s="938"/>
      <c r="C581" s="938"/>
      <c r="D581" s="938"/>
      <c r="E581" s="938"/>
      <c r="F581" s="938"/>
      <c r="G581" s="938"/>
      <c r="H581" s="938"/>
      <c r="I581" s="412" t="s">
        <v>466</v>
      </c>
      <c r="J581" s="522"/>
      <c r="K581" s="522" t="s">
        <v>32</v>
      </c>
      <c r="L581" s="412"/>
      <c r="M581" s="412"/>
      <c r="N581" s="412"/>
      <c r="O581" s="412" t="s">
        <v>466</v>
      </c>
      <c r="P581" s="522"/>
      <c r="Q581" s="522" t="s">
        <v>32</v>
      </c>
      <c r="R581" s="412"/>
      <c r="S581" s="412"/>
      <c r="T581" s="412"/>
      <c r="U581" s="412" t="s">
        <v>466</v>
      </c>
      <c r="V581" s="522"/>
      <c r="W581" s="522" t="s">
        <v>32</v>
      </c>
      <c r="X581" s="412"/>
      <c r="Y581" s="412"/>
      <c r="Z581" s="412"/>
      <c r="AA581" s="412" t="s">
        <v>466</v>
      </c>
      <c r="AB581" s="522"/>
      <c r="AC581" s="522" t="s">
        <v>32</v>
      </c>
      <c r="AD581" s="412"/>
      <c r="AE581" s="412"/>
      <c r="AF581" s="412"/>
      <c r="AG581" s="412" t="s">
        <v>466</v>
      </c>
      <c r="AH581" s="522"/>
      <c r="AI581" s="522" t="s">
        <v>32</v>
      </c>
      <c r="AJ581" s="412"/>
      <c r="AK581" s="412"/>
      <c r="AL581" s="412"/>
      <c r="AM581" s="412" t="s">
        <v>466</v>
      </c>
      <c r="AN581" s="522"/>
      <c r="AO581" s="522" t="s">
        <v>32</v>
      </c>
      <c r="AP581" s="522"/>
      <c r="AQ581" s="634"/>
      <c r="AR581" s="606"/>
      <c r="AS581" s="394"/>
      <c r="AT581" s="393"/>
      <c r="AU581" s="395"/>
      <c r="AV581" s="278"/>
      <c r="AW581" s="278"/>
      <c r="AX581" s="278"/>
      <c r="AY581" s="278"/>
      <c r="AZ581" s="278"/>
      <c r="BA581" s="278"/>
      <c r="BB581" s="278"/>
      <c r="BC581" s="278"/>
      <c r="BD581" s="278"/>
    </row>
    <row r="582" spans="1:56" ht="42.75">
      <c r="A582" s="937"/>
      <c r="B582" s="938"/>
      <c r="C582" s="938"/>
      <c r="D582" s="938"/>
      <c r="E582" s="938"/>
      <c r="F582" s="938"/>
      <c r="G582" s="938"/>
      <c r="H582" s="938"/>
      <c r="I582" s="412" t="s">
        <v>467</v>
      </c>
      <c r="J582" s="522"/>
      <c r="K582" s="522" t="s">
        <v>32</v>
      </c>
      <c r="L582" s="412"/>
      <c r="M582" s="412"/>
      <c r="N582" s="412"/>
      <c r="O582" s="412" t="s">
        <v>467</v>
      </c>
      <c r="P582" s="522"/>
      <c r="Q582" s="522" t="s">
        <v>32</v>
      </c>
      <c r="R582" s="412"/>
      <c r="S582" s="412"/>
      <c r="T582" s="412"/>
      <c r="U582" s="412" t="s">
        <v>467</v>
      </c>
      <c r="V582" s="522"/>
      <c r="W582" s="522" t="s">
        <v>32</v>
      </c>
      <c r="X582" s="412"/>
      <c r="Y582" s="412"/>
      <c r="Z582" s="412"/>
      <c r="AA582" s="412" t="s">
        <v>467</v>
      </c>
      <c r="AB582" s="522"/>
      <c r="AC582" s="522" t="s">
        <v>32</v>
      </c>
      <c r="AD582" s="412"/>
      <c r="AE582" s="412"/>
      <c r="AF582" s="412"/>
      <c r="AG582" s="412" t="s">
        <v>467</v>
      </c>
      <c r="AH582" s="522"/>
      <c r="AI582" s="522" t="s">
        <v>32</v>
      </c>
      <c r="AJ582" s="412"/>
      <c r="AK582" s="412"/>
      <c r="AL582" s="412"/>
      <c r="AM582" s="412" t="s">
        <v>467</v>
      </c>
      <c r="AN582" s="522"/>
      <c r="AO582" s="522" t="s">
        <v>32</v>
      </c>
      <c r="AP582" s="522"/>
      <c r="AQ582" s="634"/>
      <c r="AR582" s="606"/>
      <c r="AS582" s="394"/>
      <c r="AT582" s="393"/>
      <c r="AU582" s="395"/>
      <c r="AV582" s="278"/>
      <c r="AW582" s="278"/>
      <c r="AX582" s="278"/>
      <c r="AY582" s="278"/>
      <c r="AZ582" s="278"/>
      <c r="BA582" s="278"/>
      <c r="BB582" s="278"/>
      <c r="BC582" s="278"/>
      <c r="BD582" s="278"/>
    </row>
    <row r="583" spans="1:56" ht="42.75">
      <c r="A583" s="937"/>
      <c r="B583" s="938"/>
      <c r="C583" s="938"/>
      <c r="D583" s="938"/>
      <c r="E583" s="938"/>
      <c r="F583" s="938"/>
      <c r="G583" s="938"/>
      <c r="H583" s="938"/>
      <c r="I583" s="412" t="s">
        <v>468</v>
      </c>
      <c r="J583" s="522"/>
      <c r="K583" s="522" t="s">
        <v>118</v>
      </c>
      <c r="L583" s="412"/>
      <c r="M583" s="412"/>
      <c r="N583" s="412"/>
      <c r="O583" s="412" t="s">
        <v>468</v>
      </c>
      <c r="P583" s="522"/>
      <c r="Q583" s="522" t="s">
        <v>118</v>
      </c>
      <c r="R583" s="412"/>
      <c r="S583" s="412"/>
      <c r="T583" s="412"/>
      <c r="U583" s="412" t="s">
        <v>468</v>
      </c>
      <c r="V583" s="522"/>
      <c r="W583" s="522" t="s">
        <v>118</v>
      </c>
      <c r="X583" s="412"/>
      <c r="Y583" s="412"/>
      <c r="Z583" s="412"/>
      <c r="AA583" s="412" t="s">
        <v>468</v>
      </c>
      <c r="AB583" s="522"/>
      <c r="AC583" s="522" t="s">
        <v>118</v>
      </c>
      <c r="AD583" s="412"/>
      <c r="AE583" s="412"/>
      <c r="AF583" s="412"/>
      <c r="AG583" s="412" t="s">
        <v>468</v>
      </c>
      <c r="AH583" s="522"/>
      <c r="AI583" s="522" t="s">
        <v>118</v>
      </c>
      <c r="AJ583" s="412"/>
      <c r="AK583" s="412"/>
      <c r="AL583" s="412"/>
      <c r="AM583" s="412" t="s">
        <v>468</v>
      </c>
      <c r="AN583" s="522"/>
      <c r="AO583" s="522" t="s">
        <v>118</v>
      </c>
      <c r="AP583" s="522"/>
      <c r="AQ583" s="634"/>
      <c r="AR583" s="606"/>
      <c r="AS583" s="394"/>
      <c r="AT583" s="393"/>
      <c r="AU583" s="395"/>
      <c r="AV583" s="278"/>
      <c r="AW583" s="278"/>
      <c r="AX583" s="278"/>
      <c r="AY583" s="278"/>
      <c r="AZ583" s="278"/>
      <c r="BA583" s="278"/>
      <c r="BB583" s="278"/>
      <c r="BC583" s="278"/>
      <c r="BD583" s="278"/>
    </row>
    <row r="584" spans="1:56" ht="42.75">
      <c r="A584" s="937"/>
      <c r="B584" s="938"/>
      <c r="C584" s="938"/>
      <c r="D584" s="938"/>
      <c r="E584" s="938"/>
      <c r="F584" s="938"/>
      <c r="G584" s="938"/>
      <c r="H584" s="938"/>
      <c r="I584" s="412" t="s">
        <v>469</v>
      </c>
      <c r="J584" s="522"/>
      <c r="K584" s="522" t="s">
        <v>2681</v>
      </c>
      <c r="L584" s="412"/>
      <c r="M584" s="412"/>
      <c r="N584" s="412"/>
      <c r="O584" s="412" t="s">
        <v>469</v>
      </c>
      <c r="P584" s="522"/>
      <c r="Q584" s="522" t="s">
        <v>2681</v>
      </c>
      <c r="R584" s="412"/>
      <c r="S584" s="412"/>
      <c r="T584" s="412"/>
      <c r="U584" s="412" t="s">
        <v>469</v>
      </c>
      <c r="V584" s="522"/>
      <c r="W584" s="522" t="s">
        <v>2681</v>
      </c>
      <c r="X584" s="412"/>
      <c r="Y584" s="412"/>
      <c r="Z584" s="412"/>
      <c r="AA584" s="412" t="s">
        <v>469</v>
      </c>
      <c r="AB584" s="522"/>
      <c r="AC584" s="522" t="s">
        <v>2681</v>
      </c>
      <c r="AD584" s="412"/>
      <c r="AE584" s="412"/>
      <c r="AF584" s="412"/>
      <c r="AG584" s="412" t="s">
        <v>469</v>
      </c>
      <c r="AH584" s="522"/>
      <c r="AI584" s="522" t="s">
        <v>2681</v>
      </c>
      <c r="AJ584" s="412"/>
      <c r="AK584" s="412"/>
      <c r="AL584" s="412"/>
      <c r="AM584" s="412" t="s">
        <v>469</v>
      </c>
      <c r="AN584" s="522"/>
      <c r="AO584" s="522" t="s">
        <v>2681</v>
      </c>
      <c r="AP584" s="522"/>
      <c r="AQ584" s="634"/>
      <c r="AR584" s="606"/>
      <c r="AS584" s="394"/>
      <c r="AT584" s="393"/>
      <c r="AU584" s="395"/>
      <c r="AV584" s="278"/>
      <c r="AW584" s="278"/>
      <c r="AX584" s="278"/>
      <c r="AY584" s="278"/>
      <c r="AZ584" s="278"/>
      <c r="BA584" s="278"/>
      <c r="BB584" s="278"/>
      <c r="BC584" s="278"/>
      <c r="BD584" s="278"/>
    </row>
    <row r="585" spans="1:56" ht="71.25">
      <c r="A585" s="937"/>
      <c r="B585" s="938"/>
      <c r="C585" s="938"/>
      <c r="D585" s="938"/>
      <c r="E585" s="938"/>
      <c r="F585" s="938"/>
      <c r="G585" s="938"/>
      <c r="H585" s="938"/>
      <c r="I585" s="412" t="s">
        <v>470</v>
      </c>
      <c r="J585" s="522"/>
      <c r="K585" s="522" t="s">
        <v>118</v>
      </c>
      <c r="L585" s="412"/>
      <c r="M585" s="412"/>
      <c r="N585" s="412"/>
      <c r="O585" s="412" t="s">
        <v>470</v>
      </c>
      <c r="P585" s="522"/>
      <c r="Q585" s="522" t="s">
        <v>118</v>
      </c>
      <c r="R585" s="412"/>
      <c r="S585" s="412"/>
      <c r="T585" s="412"/>
      <c r="U585" s="412" t="s">
        <v>470</v>
      </c>
      <c r="V585" s="522"/>
      <c r="W585" s="522" t="s">
        <v>118</v>
      </c>
      <c r="X585" s="412"/>
      <c r="Y585" s="412"/>
      <c r="Z585" s="412"/>
      <c r="AA585" s="412" t="s">
        <v>470</v>
      </c>
      <c r="AB585" s="522"/>
      <c r="AC585" s="522" t="s">
        <v>118</v>
      </c>
      <c r="AD585" s="412"/>
      <c r="AE585" s="412"/>
      <c r="AF585" s="412"/>
      <c r="AG585" s="412" t="s">
        <v>470</v>
      </c>
      <c r="AH585" s="522"/>
      <c r="AI585" s="522" t="s">
        <v>118</v>
      </c>
      <c r="AJ585" s="412"/>
      <c r="AK585" s="412"/>
      <c r="AL585" s="412"/>
      <c r="AM585" s="412" t="s">
        <v>470</v>
      </c>
      <c r="AN585" s="522"/>
      <c r="AO585" s="522" t="s">
        <v>118</v>
      </c>
      <c r="AP585" s="522"/>
      <c r="AQ585" s="634"/>
      <c r="AR585" s="606"/>
      <c r="AS585" s="394"/>
      <c r="AT585" s="393"/>
      <c r="AU585" s="395"/>
      <c r="AV585" s="278"/>
      <c r="AW585" s="278"/>
      <c r="AX585" s="278"/>
      <c r="AY585" s="278"/>
      <c r="AZ585" s="278"/>
      <c r="BA585" s="278"/>
      <c r="BB585" s="278"/>
      <c r="BC585" s="278"/>
      <c r="BD585" s="278"/>
    </row>
    <row r="586" spans="1:56">
      <c r="A586" s="937"/>
      <c r="B586" s="938"/>
      <c r="C586" s="938"/>
      <c r="D586" s="938"/>
      <c r="E586" s="938"/>
      <c r="F586" s="938"/>
      <c r="G586" s="938"/>
      <c r="H586" s="938"/>
      <c r="I586" s="412" t="s">
        <v>471</v>
      </c>
      <c r="J586" s="522"/>
      <c r="K586" s="522"/>
      <c r="L586" s="413"/>
      <c r="M586" s="413"/>
      <c r="N586" s="413"/>
      <c r="O586" s="412" t="s">
        <v>471</v>
      </c>
      <c r="P586" s="522"/>
      <c r="Q586" s="522"/>
      <c r="R586" s="413"/>
      <c r="S586" s="413"/>
      <c r="T586" s="413"/>
      <c r="U586" s="412" t="s">
        <v>471</v>
      </c>
      <c r="V586" s="522"/>
      <c r="W586" s="522"/>
      <c r="X586" s="413"/>
      <c r="Y586" s="413"/>
      <c r="Z586" s="413"/>
      <c r="AA586" s="412" t="s">
        <v>471</v>
      </c>
      <c r="AB586" s="522"/>
      <c r="AC586" s="522"/>
      <c r="AD586" s="413"/>
      <c r="AE586" s="413"/>
      <c r="AF586" s="413"/>
      <c r="AG586" s="412" t="s">
        <v>471</v>
      </c>
      <c r="AH586" s="522"/>
      <c r="AI586" s="522"/>
      <c r="AJ586" s="413"/>
      <c r="AK586" s="413"/>
      <c r="AL586" s="413"/>
      <c r="AM586" s="412" t="s">
        <v>471</v>
      </c>
      <c r="AN586" s="522"/>
      <c r="AO586" s="522"/>
      <c r="AP586" s="522"/>
      <c r="AQ586" s="634"/>
      <c r="AR586" s="606"/>
      <c r="AS586" s="394"/>
      <c r="AT586" s="393"/>
      <c r="AU586" s="395"/>
      <c r="AV586" s="278"/>
      <c r="AW586" s="278"/>
      <c r="AX586" s="278"/>
      <c r="AY586" s="278"/>
      <c r="AZ586" s="278"/>
      <c r="BA586" s="278"/>
      <c r="BB586" s="278"/>
      <c r="BC586" s="278"/>
      <c r="BD586" s="278"/>
    </row>
    <row r="587" spans="1:56">
      <c r="A587" s="635">
        <v>1</v>
      </c>
      <c r="B587" s="404"/>
      <c r="C587" s="404"/>
      <c r="D587" s="404"/>
      <c r="E587" s="404"/>
      <c r="F587" s="404"/>
      <c r="G587" s="404"/>
      <c r="H587" s="404"/>
      <c r="I587" s="268"/>
      <c r="J587" s="552"/>
      <c r="K587" s="552"/>
      <c r="L587" s="407"/>
      <c r="M587" s="407"/>
      <c r="N587" s="407"/>
      <c r="O587" s="268"/>
      <c r="P587" s="552"/>
      <c r="Q587" s="552"/>
      <c r="R587" s="407"/>
      <c r="S587" s="407"/>
      <c r="T587" s="407"/>
      <c r="U587" s="268"/>
      <c r="V587" s="552"/>
      <c r="W587" s="552"/>
      <c r="X587" s="407"/>
      <c r="Y587" s="407"/>
      <c r="Z587" s="407"/>
      <c r="AA587" s="268"/>
      <c r="AB587" s="552"/>
      <c r="AC587" s="552"/>
      <c r="AD587" s="407"/>
      <c r="AE587" s="407"/>
      <c r="AF587" s="407"/>
      <c r="AG587" s="268"/>
      <c r="AH587" s="552"/>
      <c r="AI587" s="552"/>
      <c r="AJ587" s="407"/>
      <c r="AK587" s="407"/>
      <c r="AL587" s="407"/>
      <c r="AM587" s="268"/>
      <c r="AN587" s="552"/>
      <c r="AO587" s="552"/>
      <c r="AP587" s="552"/>
      <c r="AQ587" s="634"/>
      <c r="AR587" s="606"/>
      <c r="AS587" s="394"/>
      <c r="AT587" s="393"/>
      <c r="AU587" s="395"/>
      <c r="AV587" s="278"/>
      <c r="AW587" s="278"/>
      <c r="AX587" s="278"/>
      <c r="AY587" s="278"/>
      <c r="AZ587" s="278"/>
      <c r="BA587" s="278"/>
      <c r="BB587" s="278"/>
      <c r="BC587" s="278"/>
      <c r="BD587" s="278"/>
    </row>
    <row r="588" spans="1:56">
      <c r="A588" s="635">
        <v>2</v>
      </c>
      <c r="B588" s="404"/>
      <c r="C588" s="404"/>
      <c r="D588" s="404"/>
      <c r="E588" s="404"/>
      <c r="F588" s="404"/>
      <c r="G588" s="404"/>
      <c r="H588" s="404"/>
      <c r="I588" s="268"/>
      <c r="J588" s="552"/>
      <c r="K588" s="552"/>
      <c r="L588" s="407"/>
      <c r="M588" s="407"/>
      <c r="N588" s="407"/>
      <c r="O588" s="268"/>
      <c r="P588" s="552"/>
      <c r="Q588" s="552"/>
      <c r="R588" s="407"/>
      <c r="S588" s="407"/>
      <c r="T588" s="407"/>
      <c r="U588" s="268"/>
      <c r="V588" s="552"/>
      <c r="W588" s="552"/>
      <c r="X588" s="407"/>
      <c r="Y588" s="407"/>
      <c r="Z588" s="407"/>
      <c r="AA588" s="268"/>
      <c r="AB588" s="552"/>
      <c r="AC588" s="552"/>
      <c r="AD588" s="407"/>
      <c r="AE588" s="407"/>
      <c r="AF588" s="407"/>
      <c r="AG588" s="268"/>
      <c r="AH588" s="552"/>
      <c r="AI588" s="552"/>
      <c r="AJ588" s="407"/>
      <c r="AK588" s="407"/>
      <c r="AL588" s="407"/>
      <c r="AM588" s="268"/>
      <c r="AN588" s="552"/>
      <c r="AO588" s="552"/>
      <c r="AP588" s="552"/>
      <c r="AQ588" s="634"/>
      <c r="AR588" s="606"/>
      <c r="AS588" s="394"/>
      <c r="AT588" s="393"/>
      <c r="AU588" s="395"/>
      <c r="AV588" s="278"/>
      <c r="AW588" s="278"/>
      <c r="AX588" s="278"/>
      <c r="AY588" s="278"/>
      <c r="AZ588" s="278"/>
      <c r="BA588" s="278"/>
      <c r="BB588" s="278"/>
      <c r="BC588" s="278"/>
      <c r="BD588" s="278"/>
    </row>
    <row r="589" spans="1:56">
      <c r="A589" s="635">
        <v>3</v>
      </c>
      <c r="B589" s="404"/>
      <c r="C589" s="404"/>
      <c r="D589" s="404"/>
      <c r="E589" s="404"/>
      <c r="F589" s="404"/>
      <c r="G589" s="404"/>
      <c r="H589" s="404"/>
      <c r="I589" s="268"/>
      <c r="J589" s="552"/>
      <c r="K589" s="552"/>
      <c r="L589" s="407"/>
      <c r="M589" s="407"/>
      <c r="N589" s="407"/>
      <c r="O589" s="268"/>
      <c r="P589" s="552"/>
      <c r="Q589" s="552"/>
      <c r="R589" s="407"/>
      <c r="S589" s="407"/>
      <c r="T589" s="407"/>
      <c r="U589" s="268"/>
      <c r="V589" s="552"/>
      <c r="W589" s="552"/>
      <c r="X589" s="407"/>
      <c r="Y589" s="407"/>
      <c r="Z589" s="407"/>
      <c r="AA589" s="268"/>
      <c r="AB589" s="552"/>
      <c r="AC589" s="552"/>
      <c r="AD589" s="407"/>
      <c r="AE589" s="407"/>
      <c r="AF589" s="407"/>
      <c r="AG589" s="268"/>
      <c r="AH589" s="552"/>
      <c r="AI589" s="552"/>
      <c r="AJ589" s="407"/>
      <c r="AK589" s="407"/>
      <c r="AL589" s="407"/>
      <c r="AM589" s="268"/>
      <c r="AN589" s="552"/>
      <c r="AO589" s="552"/>
      <c r="AP589" s="552"/>
      <c r="AQ589" s="634"/>
      <c r="AR589" s="606"/>
      <c r="AS589" s="394"/>
      <c r="AT589" s="393"/>
      <c r="AU589" s="395"/>
      <c r="AV589" s="278"/>
      <c r="AW589" s="278"/>
      <c r="AX589" s="278"/>
      <c r="AY589" s="278"/>
      <c r="AZ589" s="278"/>
      <c r="BA589" s="278"/>
      <c r="BB589" s="278"/>
      <c r="BC589" s="278"/>
      <c r="BD589" s="278"/>
    </row>
    <row r="590" spans="1:56">
      <c r="A590" s="935" t="s">
        <v>3257</v>
      </c>
      <c r="B590" s="936"/>
      <c r="C590" s="936"/>
      <c r="D590" s="936"/>
      <c r="E590" s="408"/>
      <c r="F590" s="408"/>
      <c r="G590" s="408"/>
      <c r="H590" s="408"/>
      <c r="I590" s="400"/>
      <c r="J590" s="409"/>
      <c r="K590" s="400"/>
      <c r="L590" s="410"/>
      <c r="M590" s="410"/>
      <c r="N590" s="400"/>
      <c r="O590" s="400"/>
      <c r="P590" s="409"/>
      <c r="Q590" s="410"/>
      <c r="R590" s="410"/>
      <c r="S590" s="410"/>
      <c r="T590" s="400"/>
      <c r="U590" s="400"/>
      <c r="V590" s="409"/>
      <c r="W590" s="400"/>
      <c r="X590" s="410"/>
      <c r="Y590" s="410"/>
      <c r="Z590" s="400"/>
      <c r="AA590" s="400"/>
      <c r="AB590" s="409"/>
      <c r="AC590" s="400"/>
      <c r="AD590" s="410"/>
      <c r="AE590" s="410"/>
      <c r="AF590" s="400"/>
      <c r="AG590" s="400"/>
      <c r="AH590" s="409"/>
      <c r="AI590" s="400"/>
      <c r="AJ590" s="410"/>
      <c r="AK590" s="410"/>
      <c r="AL590" s="400"/>
      <c r="AM590" s="400"/>
      <c r="AN590" s="409"/>
      <c r="AO590" s="400"/>
      <c r="AP590" s="411"/>
      <c r="AQ590" s="634"/>
      <c r="AR590" s="606"/>
      <c r="AS590" s="394"/>
      <c r="AT590" s="393"/>
      <c r="AU590" s="395"/>
      <c r="AV590" s="278"/>
      <c r="AW590" s="278"/>
      <c r="AX590" s="278"/>
      <c r="AY590" s="278"/>
      <c r="AZ590" s="278"/>
      <c r="BA590" s="278"/>
      <c r="BB590" s="278"/>
      <c r="BC590" s="278"/>
      <c r="BD590" s="278"/>
    </row>
    <row r="591" spans="1:56">
      <c r="A591" s="937" t="s">
        <v>3258</v>
      </c>
      <c r="B591" s="938"/>
      <c r="C591" s="938"/>
      <c r="D591" s="938"/>
      <c r="E591" s="938"/>
      <c r="F591" s="938"/>
      <c r="G591" s="938"/>
      <c r="H591" s="938"/>
      <c r="I591" s="954" t="s">
        <v>114</v>
      </c>
      <c r="J591" s="522"/>
      <c r="K591" s="522" t="s">
        <v>17</v>
      </c>
      <c r="L591" s="522"/>
      <c r="M591" s="522"/>
      <c r="N591" s="522"/>
      <c r="O591" s="954" t="s">
        <v>114</v>
      </c>
      <c r="P591" s="522"/>
      <c r="Q591" s="522" t="s">
        <v>17</v>
      </c>
      <c r="R591" s="522"/>
      <c r="S591" s="522"/>
      <c r="T591" s="522"/>
      <c r="U591" s="954" t="s">
        <v>114</v>
      </c>
      <c r="V591" s="522"/>
      <c r="W591" s="522" t="s">
        <v>17</v>
      </c>
      <c r="X591" s="522"/>
      <c r="Y591" s="522"/>
      <c r="Z591" s="522"/>
      <c r="AA591" s="954" t="s">
        <v>114</v>
      </c>
      <c r="AB591" s="522"/>
      <c r="AC591" s="522" t="s">
        <v>17</v>
      </c>
      <c r="AD591" s="522"/>
      <c r="AE591" s="522"/>
      <c r="AF591" s="522"/>
      <c r="AG591" s="954" t="s">
        <v>114</v>
      </c>
      <c r="AH591" s="522"/>
      <c r="AI591" s="522" t="s">
        <v>17</v>
      </c>
      <c r="AJ591" s="522"/>
      <c r="AK591" s="522"/>
      <c r="AL591" s="522"/>
      <c r="AM591" s="954" t="s">
        <v>114</v>
      </c>
      <c r="AN591" s="522"/>
      <c r="AO591" s="522" t="s">
        <v>17</v>
      </c>
      <c r="AP591" s="522"/>
      <c r="AQ591" s="634"/>
      <c r="AR591" s="606"/>
      <c r="AS591" s="394"/>
      <c r="AT591" s="393"/>
      <c r="AU591" s="395"/>
      <c r="AV591" s="278"/>
      <c r="AW591" s="278"/>
      <c r="AX591" s="278"/>
      <c r="AY591" s="278"/>
      <c r="AZ591" s="278"/>
      <c r="BA591" s="278"/>
      <c r="BB591" s="278"/>
      <c r="BC591" s="278"/>
      <c r="BD591" s="278"/>
    </row>
    <row r="592" spans="1:56">
      <c r="A592" s="937"/>
      <c r="B592" s="938"/>
      <c r="C592" s="938"/>
      <c r="D592" s="938"/>
      <c r="E592" s="938"/>
      <c r="F592" s="938"/>
      <c r="G592" s="938"/>
      <c r="H592" s="938"/>
      <c r="I592" s="954"/>
      <c r="J592" s="522"/>
      <c r="K592" s="522" t="s">
        <v>32</v>
      </c>
      <c r="L592" s="522"/>
      <c r="M592" s="522"/>
      <c r="N592" s="522"/>
      <c r="O592" s="954"/>
      <c r="P592" s="522"/>
      <c r="Q592" s="522" t="s">
        <v>32</v>
      </c>
      <c r="R592" s="522"/>
      <c r="S592" s="522"/>
      <c r="T592" s="522"/>
      <c r="U592" s="954"/>
      <c r="V592" s="522"/>
      <c r="W592" s="522" t="s">
        <v>32</v>
      </c>
      <c r="X592" s="522"/>
      <c r="Y592" s="522"/>
      <c r="Z592" s="522"/>
      <c r="AA592" s="954"/>
      <c r="AB592" s="522"/>
      <c r="AC592" s="522" t="s">
        <v>32</v>
      </c>
      <c r="AD592" s="522"/>
      <c r="AE592" s="522"/>
      <c r="AF592" s="522"/>
      <c r="AG592" s="954"/>
      <c r="AH592" s="522"/>
      <c r="AI592" s="522" t="s">
        <v>32</v>
      </c>
      <c r="AJ592" s="522"/>
      <c r="AK592" s="522"/>
      <c r="AL592" s="522"/>
      <c r="AM592" s="954"/>
      <c r="AN592" s="522"/>
      <c r="AO592" s="522" t="s">
        <v>32</v>
      </c>
      <c r="AP592" s="522"/>
      <c r="AQ592" s="634"/>
      <c r="AR592" s="606"/>
      <c r="AS592" s="394"/>
      <c r="AT592" s="393"/>
      <c r="AU592" s="395"/>
      <c r="AV592" s="278"/>
      <c r="AW592" s="278"/>
      <c r="AX592" s="278"/>
      <c r="AY592" s="278"/>
      <c r="AZ592" s="278"/>
      <c r="BA592" s="278"/>
      <c r="BB592" s="278"/>
      <c r="BC592" s="278"/>
      <c r="BD592" s="278"/>
    </row>
    <row r="593" spans="1:56">
      <c r="A593" s="937"/>
      <c r="B593" s="938"/>
      <c r="C593" s="938"/>
      <c r="D593" s="938"/>
      <c r="E593" s="938"/>
      <c r="F593" s="938"/>
      <c r="G593" s="938"/>
      <c r="H593" s="938"/>
      <c r="I593" s="954" t="s">
        <v>115</v>
      </c>
      <c r="J593" s="522"/>
      <c r="K593" s="522" t="s">
        <v>17</v>
      </c>
      <c r="L593" s="522"/>
      <c r="M593" s="522"/>
      <c r="N593" s="522"/>
      <c r="O593" s="954" t="s">
        <v>115</v>
      </c>
      <c r="P593" s="522"/>
      <c r="Q593" s="522" t="s">
        <v>17</v>
      </c>
      <c r="R593" s="522"/>
      <c r="S593" s="522"/>
      <c r="T593" s="522"/>
      <c r="U593" s="954" t="s">
        <v>115</v>
      </c>
      <c r="V593" s="522"/>
      <c r="W593" s="522" t="s">
        <v>17</v>
      </c>
      <c r="X593" s="522"/>
      <c r="Y593" s="522"/>
      <c r="Z593" s="522"/>
      <c r="AA593" s="954" t="s">
        <v>115</v>
      </c>
      <c r="AB593" s="522"/>
      <c r="AC593" s="522" t="s">
        <v>17</v>
      </c>
      <c r="AD593" s="522"/>
      <c r="AE593" s="522"/>
      <c r="AF593" s="522"/>
      <c r="AG593" s="954" t="s">
        <v>115</v>
      </c>
      <c r="AH593" s="522"/>
      <c r="AI593" s="522" t="s">
        <v>17</v>
      </c>
      <c r="AJ593" s="522"/>
      <c r="AK593" s="522"/>
      <c r="AL593" s="522"/>
      <c r="AM593" s="954" t="s">
        <v>115</v>
      </c>
      <c r="AN593" s="522"/>
      <c r="AO593" s="522" t="s">
        <v>17</v>
      </c>
      <c r="AP593" s="522"/>
      <c r="AQ593" s="634"/>
      <c r="AR593" s="606"/>
      <c r="AS593" s="394"/>
      <c r="AT593" s="393"/>
      <c r="AU593" s="395"/>
      <c r="AV593" s="278"/>
      <c r="AW593" s="278"/>
      <c r="AX593" s="278"/>
      <c r="AY593" s="278"/>
      <c r="AZ593" s="278"/>
      <c r="BA593" s="278"/>
      <c r="BB593" s="278"/>
      <c r="BC593" s="278"/>
      <c r="BD593" s="278"/>
    </row>
    <row r="594" spans="1:56">
      <c r="A594" s="937"/>
      <c r="B594" s="938"/>
      <c r="C594" s="938"/>
      <c r="D594" s="938"/>
      <c r="E594" s="938"/>
      <c r="F594" s="938"/>
      <c r="G594" s="938"/>
      <c r="H594" s="938"/>
      <c r="I594" s="954"/>
      <c r="J594" s="522"/>
      <c r="K594" s="522" t="s">
        <v>32</v>
      </c>
      <c r="L594" s="522"/>
      <c r="M594" s="522"/>
      <c r="N594" s="522"/>
      <c r="O594" s="954"/>
      <c r="P594" s="522"/>
      <c r="Q594" s="522" t="s">
        <v>32</v>
      </c>
      <c r="R594" s="522"/>
      <c r="S594" s="522"/>
      <c r="T594" s="522"/>
      <c r="U594" s="954"/>
      <c r="V594" s="522"/>
      <c r="W594" s="522" t="s">
        <v>32</v>
      </c>
      <c r="X594" s="522"/>
      <c r="Y594" s="522"/>
      <c r="Z594" s="522"/>
      <c r="AA594" s="954"/>
      <c r="AB594" s="522"/>
      <c r="AC594" s="522" t="s">
        <v>32</v>
      </c>
      <c r="AD594" s="522"/>
      <c r="AE594" s="522"/>
      <c r="AF594" s="522"/>
      <c r="AG594" s="954"/>
      <c r="AH594" s="522"/>
      <c r="AI594" s="522" t="s">
        <v>32</v>
      </c>
      <c r="AJ594" s="522"/>
      <c r="AK594" s="522"/>
      <c r="AL594" s="522"/>
      <c r="AM594" s="954"/>
      <c r="AN594" s="522"/>
      <c r="AO594" s="522" t="s">
        <v>32</v>
      </c>
      <c r="AP594" s="522"/>
      <c r="AQ594" s="634"/>
      <c r="AR594" s="606"/>
      <c r="AS594" s="394"/>
      <c r="AT594" s="393"/>
      <c r="AU594" s="395"/>
      <c r="AV594" s="278"/>
      <c r="AW594" s="278"/>
      <c r="AX594" s="278"/>
      <c r="AY594" s="278"/>
      <c r="AZ594" s="278"/>
      <c r="BA594" s="278"/>
      <c r="BB594" s="278"/>
      <c r="BC594" s="278"/>
      <c r="BD594" s="278"/>
    </row>
    <row r="595" spans="1:56">
      <c r="A595" s="937"/>
      <c r="B595" s="938"/>
      <c r="C595" s="938"/>
      <c r="D595" s="938"/>
      <c r="E595" s="938"/>
      <c r="F595" s="938"/>
      <c r="G595" s="938"/>
      <c r="H595" s="938"/>
      <c r="I595" s="954" t="s">
        <v>116</v>
      </c>
      <c r="J595" s="522"/>
      <c r="K595" s="522" t="s">
        <v>17</v>
      </c>
      <c r="L595" s="522"/>
      <c r="M595" s="522"/>
      <c r="N595" s="522"/>
      <c r="O595" s="954" t="s">
        <v>116</v>
      </c>
      <c r="P595" s="522"/>
      <c r="Q595" s="522" t="s">
        <v>17</v>
      </c>
      <c r="R595" s="522"/>
      <c r="S595" s="522"/>
      <c r="T595" s="522"/>
      <c r="U595" s="954" t="s">
        <v>116</v>
      </c>
      <c r="V595" s="522"/>
      <c r="W595" s="522" t="s">
        <v>17</v>
      </c>
      <c r="X595" s="522"/>
      <c r="Y595" s="522"/>
      <c r="Z595" s="522"/>
      <c r="AA595" s="954" t="s">
        <v>116</v>
      </c>
      <c r="AB595" s="522"/>
      <c r="AC595" s="522" t="s">
        <v>17</v>
      </c>
      <c r="AD595" s="522"/>
      <c r="AE595" s="522"/>
      <c r="AF595" s="522"/>
      <c r="AG595" s="954" t="s">
        <v>116</v>
      </c>
      <c r="AH595" s="522"/>
      <c r="AI595" s="522" t="s">
        <v>17</v>
      </c>
      <c r="AJ595" s="522"/>
      <c r="AK595" s="522"/>
      <c r="AL595" s="522"/>
      <c r="AM595" s="954" t="s">
        <v>116</v>
      </c>
      <c r="AN595" s="522"/>
      <c r="AO595" s="522" t="s">
        <v>17</v>
      </c>
      <c r="AP595" s="522"/>
      <c r="AQ595" s="634"/>
      <c r="AR595" s="606"/>
      <c r="AS595" s="394"/>
      <c r="AT595" s="393"/>
      <c r="AU595" s="395"/>
      <c r="AV595" s="278"/>
      <c r="AW595" s="278"/>
      <c r="AX595" s="278"/>
      <c r="AY595" s="278"/>
      <c r="AZ595" s="278"/>
      <c r="BA595" s="278"/>
      <c r="BB595" s="278"/>
      <c r="BC595" s="278"/>
      <c r="BD595" s="278"/>
    </row>
    <row r="596" spans="1:56">
      <c r="A596" s="937"/>
      <c r="B596" s="938"/>
      <c r="C596" s="938"/>
      <c r="D596" s="938"/>
      <c r="E596" s="938"/>
      <c r="F596" s="938"/>
      <c r="G596" s="938"/>
      <c r="H596" s="938"/>
      <c r="I596" s="954"/>
      <c r="J596" s="522"/>
      <c r="K596" s="522" t="s">
        <v>32</v>
      </c>
      <c r="L596" s="522"/>
      <c r="M596" s="522"/>
      <c r="N596" s="522"/>
      <c r="O596" s="954"/>
      <c r="P596" s="522"/>
      <c r="Q596" s="522" t="s">
        <v>32</v>
      </c>
      <c r="R596" s="522"/>
      <c r="S596" s="522"/>
      <c r="T596" s="522"/>
      <c r="U596" s="954"/>
      <c r="V596" s="522"/>
      <c r="W596" s="522" t="s">
        <v>32</v>
      </c>
      <c r="X596" s="522"/>
      <c r="Y596" s="522"/>
      <c r="Z596" s="522"/>
      <c r="AA596" s="954"/>
      <c r="AB596" s="522"/>
      <c r="AC596" s="522" t="s">
        <v>32</v>
      </c>
      <c r="AD596" s="522"/>
      <c r="AE596" s="522"/>
      <c r="AF596" s="522"/>
      <c r="AG596" s="954"/>
      <c r="AH596" s="522"/>
      <c r="AI596" s="522" t="s">
        <v>32</v>
      </c>
      <c r="AJ596" s="522"/>
      <c r="AK596" s="522"/>
      <c r="AL596" s="522"/>
      <c r="AM596" s="954"/>
      <c r="AN596" s="522"/>
      <c r="AO596" s="522" t="s">
        <v>32</v>
      </c>
      <c r="AP596" s="522"/>
      <c r="AQ596" s="634"/>
      <c r="AR596" s="606"/>
      <c r="AS596" s="394"/>
      <c r="AT596" s="393"/>
      <c r="AU596" s="395"/>
      <c r="AV596" s="278"/>
      <c r="AW596" s="278"/>
      <c r="AX596" s="278"/>
      <c r="AY596" s="278"/>
      <c r="AZ596" s="278"/>
      <c r="BA596" s="278"/>
      <c r="BB596" s="278"/>
      <c r="BC596" s="278"/>
      <c r="BD596" s="278"/>
    </row>
    <row r="597" spans="1:56">
      <c r="A597" s="937"/>
      <c r="B597" s="938"/>
      <c r="C597" s="938"/>
      <c r="D597" s="938"/>
      <c r="E597" s="938"/>
      <c r="F597" s="938"/>
      <c r="G597" s="938"/>
      <c r="H597" s="938"/>
      <c r="I597" s="954" t="s">
        <v>117</v>
      </c>
      <c r="J597" s="522"/>
      <c r="K597" s="522" t="s">
        <v>17</v>
      </c>
      <c r="L597" s="522"/>
      <c r="M597" s="522"/>
      <c r="N597" s="522"/>
      <c r="O597" s="954" t="s">
        <v>117</v>
      </c>
      <c r="P597" s="522"/>
      <c r="Q597" s="522" t="s">
        <v>17</v>
      </c>
      <c r="R597" s="522"/>
      <c r="S597" s="522"/>
      <c r="T597" s="522"/>
      <c r="U597" s="954" t="s">
        <v>117</v>
      </c>
      <c r="V597" s="522"/>
      <c r="W597" s="522" t="s">
        <v>17</v>
      </c>
      <c r="X597" s="522"/>
      <c r="Y597" s="522"/>
      <c r="Z597" s="522"/>
      <c r="AA597" s="954" t="s">
        <v>117</v>
      </c>
      <c r="AB597" s="522"/>
      <c r="AC597" s="522" t="s">
        <v>17</v>
      </c>
      <c r="AD597" s="522"/>
      <c r="AE597" s="522"/>
      <c r="AF597" s="522"/>
      <c r="AG597" s="954" t="s">
        <v>117</v>
      </c>
      <c r="AH597" s="522"/>
      <c r="AI597" s="522" t="s">
        <v>17</v>
      </c>
      <c r="AJ597" s="522"/>
      <c r="AK597" s="522"/>
      <c r="AL597" s="522"/>
      <c r="AM597" s="954" t="s">
        <v>117</v>
      </c>
      <c r="AN597" s="522"/>
      <c r="AO597" s="522" t="s">
        <v>17</v>
      </c>
      <c r="AP597" s="522"/>
      <c r="AQ597" s="634"/>
      <c r="AR597" s="606"/>
      <c r="AS597" s="394"/>
      <c r="AT597" s="393"/>
      <c r="AU597" s="395"/>
      <c r="AV597" s="278"/>
      <c r="AW597" s="278"/>
      <c r="AX597" s="278"/>
      <c r="AY597" s="278"/>
      <c r="AZ597" s="278"/>
      <c r="BA597" s="278"/>
      <c r="BB597" s="278"/>
      <c r="BC597" s="278"/>
      <c r="BD597" s="278"/>
    </row>
    <row r="598" spans="1:56">
      <c r="A598" s="937"/>
      <c r="B598" s="938"/>
      <c r="C598" s="938"/>
      <c r="D598" s="938"/>
      <c r="E598" s="938"/>
      <c r="F598" s="938"/>
      <c r="G598" s="938"/>
      <c r="H598" s="938"/>
      <c r="I598" s="954"/>
      <c r="J598" s="522"/>
      <c r="K598" s="522" t="s">
        <v>32</v>
      </c>
      <c r="L598" s="522"/>
      <c r="M598" s="522"/>
      <c r="N598" s="522"/>
      <c r="O598" s="954"/>
      <c r="P598" s="522"/>
      <c r="Q598" s="522" t="s">
        <v>32</v>
      </c>
      <c r="R598" s="522"/>
      <c r="S598" s="522"/>
      <c r="T598" s="522"/>
      <c r="U598" s="954"/>
      <c r="V598" s="522"/>
      <c r="W598" s="522" t="s">
        <v>32</v>
      </c>
      <c r="X598" s="522"/>
      <c r="Y598" s="522"/>
      <c r="Z598" s="522"/>
      <c r="AA598" s="954"/>
      <c r="AB598" s="522"/>
      <c r="AC598" s="522" t="s">
        <v>32</v>
      </c>
      <c r="AD598" s="522"/>
      <c r="AE598" s="522"/>
      <c r="AF598" s="522"/>
      <c r="AG598" s="954"/>
      <c r="AH598" s="522"/>
      <c r="AI598" s="522" t="s">
        <v>32</v>
      </c>
      <c r="AJ598" s="522"/>
      <c r="AK598" s="522"/>
      <c r="AL598" s="522"/>
      <c r="AM598" s="954"/>
      <c r="AN598" s="522"/>
      <c r="AO598" s="522" t="s">
        <v>32</v>
      </c>
      <c r="AP598" s="522"/>
      <c r="AQ598" s="634"/>
      <c r="AR598" s="606"/>
      <c r="AS598" s="394"/>
      <c r="AT598" s="393"/>
      <c r="AU598" s="395"/>
      <c r="AV598" s="278"/>
      <c r="AW598" s="278"/>
      <c r="AX598" s="278"/>
      <c r="AY598" s="278"/>
      <c r="AZ598" s="278"/>
      <c r="BA598" s="278"/>
      <c r="BB598" s="278"/>
      <c r="BC598" s="278"/>
      <c r="BD598" s="278"/>
    </row>
    <row r="599" spans="1:56">
      <c r="A599" s="937"/>
      <c r="B599" s="938"/>
      <c r="C599" s="938"/>
      <c r="D599" s="938"/>
      <c r="E599" s="938"/>
      <c r="F599" s="938"/>
      <c r="G599" s="938"/>
      <c r="H599" s="938"/>
      <c r="I599" s="939" t="s">
        <v>462</v>
      </c>
      <c r="J599" s="522"/>
      <c r="K599" s="522" t="s">
        <v>32</v>
      </c>
      <c r="L599" s="939"/>
      <c r="M599" s="522"/>
      <c r="N599" s="522"/>
      <c r="O599" s="939" t="s">
        <v>462</v>
      </c>
      <c r="P599" s="522"/>
      <c r="Q599" s="522" t="s">
        <v>32</v>
      </c>
      <c r="R599" s="939"/>
      <c r="S599" s="522"/>
      <c r="T599" s="522"/>
      <c r="U599" s="939" t="s">
        <v>462</v>
      </c>
      <c r="V599" s="522"/>
      <c r="W599" s="522" t="s">
        <v>32</v>
      </c>
      <c r="X599" s="939"/>
      <c r="Y599" s="522"/>
      <c r="Z599" s="522"/>
      <c r="AA599" s="939" t="s">
        <v>462</v>
      </c>
      <c r="AB599" s="522"/>
      <c r="AC599" s="522" t="s">
        <v>32</v>
      </c>
      <c r="AD599" s="939"/>
      <c r="AE599" s="522"/>
      <c r="AF599" s="522"/>
      <c r="AG599" s="939" t="s">
        <v>462</v>
      </c>
      <c r="AH599" s="522"/>
      <c r="AI599" s="522" t="s">
        <v>32</v>
      </c>
      <c r="AJ599" s="939"/>
      <c r="AK599" s="522"/>
      <c r="AL599" s="522"/>
      <c r="AM599" s="939" t="s">
        <v>462</v>
      </c>
      <c r="AN599" s="522"/>
      <c r="AO599" s="522" t="s">
        <v>32</v>
      </c>
      <c r="AP599" s="522"/>
      <c r="AQ599" s="634"/>
      <c r="AR599" s="606"/>
      <c r="AS599" s="394"/>
      <c r="AT599" s="393"/>
      <c r="AU599" s="395"/>
      <c r="AV599" s="278"/>
      <c r="AW599" s="278"/>
      <c r="AX599" s="278"/>
      <c r="AY599" s="278"/>
      <c r="AZ599" s="278"/>
      <c r="BA599" s="278"/>
      <c r="BB599" s="278"/>
      <c r="BC599" s="278"/>
      <c r="BD599" s="278"/>
    </row>
    <row r="600" spans="1:56">
      <c r="A600" s="937"/>
      <c r="B600" s="938"/>
      <c r="C600" s="938"/>
      <c r="D600" s="938"/>
      <c r="E600" s="938"/>
      <c r="F600" s="938"/>
      <c r="G600" s="938"/>
      <c r="H600" s="938"/>
      <c r="I600" s="939"/>
      <c r="J600" s="522"/>
      <c r="K600" s="522" t="s">
        <v>17</v>
      </c>
      <c r="L600" s="939"/>
      <c r="M600" s="522"/>
      <c r="N600" s="522"/>
      <c r="O600" s="939"/>
      <c r="P600" s="522"/>
      <c r="Q600" s="522" t="s">
        <v>17</v>
      </c>
      <c r="R600" s="939"/>
      <c r="S600" s="522"/>
      <c r="T600" s="522"/>
      <c r="U600" s="939"/>
      <c r="V600" s="522"/>
      <c r="W600" s="522" t="s">
        <v>17</v>
      </c>
      <c r="X600" s="939"/>
      <c r="Y600" s="522"/>
      <c r="Z600" s="522"/>
      <c r="AA600" s="939"/>
      <c r="AB600" s="522"/>
      <c r="AC600" s="522" t="s">
        <v>17</v>
      </c>
      <c r="AD600" s="939"/>
      <c r="AE600" s="522"/>
      <c r="AF600" s="522"/>
      <c r="AG600" s="939"/>
      <c r="AH600" s="522"/>
      <c r="AI600" s="522" t="s">
        <v>17</v>
      </c>
      <c r="AJ600" s="939"/>
      <c r="AK600" s="522"/>
      <c r="AL600" s="522"/>
      <c r="AM600" s="939"/>
      <c r="AN600" s="522"/>
      <c r="AO600" s="522" t="s">
        <v>17</v>
      </c>
      <c r="AP600" s="522"/>
      <c r="AQ600" s="634"/>
      <c r="AR600" s="606"/>
      <c r="AS600" s="394"/>
      <c r="AT600" s="393"/>
      <c r="AU600" s="395"/>
      <c r="AV600" s="278"/>
      <c r="AW600" s="278"/>
      <c r="AX600" s="278"/>
      <c r="AY600" s="278"/>
      <c r="AZ600" s="278"/>
      <c r="BA600" s="278"/>
      <c r="BB600" s="278"/>
      <c r="BC600" s="278"/>
      <c r="BD600" s="278"/>
    </row>
    <row r="601" spans="1:56" ht="42.75">
      <c r="A601" s="937"/>
      <c r="B601" s="938"/>
      <c r="C601" s="938"/>
      <c r="D601" s="938"/>
      <c r="E601" s="938"/>
      <c r="F601" s="938"/>
      <c r="G601" s="938"/>
      <c r="H601" s="938"/>
      <c r="I601" s="412" t="s">
        <v>120</v>
      </c>
      <c r="J601" s="522"/>
      <c r="K601" s="522" t="s">
        <v>118</v>
      </c>
      <c r="L601" s="522"/>
      <c r="M601" s="522"/>
      <c r="N601" s="522"/>
      <c r="O601" s="412" t="s">
        <v>120</v>
      </c>
      <c r="P601" s="522"/>
      <c r="Q601" s="522" t="s">
        <v>118</v>
      </c>
      <c r="R601" s="522"/>
      <c r="S601" s="522"/>
      <c r="T601" s="522"/>
      <c r="U601" s="412" t="s">
        <v>120</v>
      </c>
      <c r="V601" s="522"/>
      <c r="W601" s="522" t="s">
        <v>118</v>
      </c>
      <c r="X601" s="522"/>
      <c r="Y601" s="522"/>
      <c r="Z601" s="522"/>
      <c r="AA601" s="412" t="s">
        <v>120</v>
      </c>
      <c r="AB601" s="522"/>
      <c r="AC601" s="522" t="s">
        <v>118</v>
      </c>
      <c r="AD601" s="522"/>
      <c r="AE601" s="522"/>
      <c r="AF601" s="522"/>
      <c r="AG601" s="412" t="s">
        <v>120</v>
      </c>
      <c r="AH601" s="522"/>
      <c r="AI601" s="522" t="s">
        <v>118</v>
      </c>
      <c r="AJ601" s="522"/>
      <c r="AK601" s="522"/>
      <c r="AL601" s="522"/>
      <c r="AM601" s="412" t="s">
        <v>120</v>
      </c>
      <c r="AN601" s="522"/>
      <c r="AO601" s="522" t="s">
        <v>118</v>
      </c>
      <c r="AP601" s="522"/>
      <c r="AQ601" s="634"/>
      <c r="AR601" s="606"/>
      <c r="AS601" s="394"/>
      <c r="AT601" s="393"/>
      <c r="AU601" s="395"/>
      <c r="AV601" s="278"/>
      <c r="AW601" s="278"/>
      <c r="AX601" s="278"/>
      <c r="AY601" s="278"/>
      <c r="AZ601" s="278"/>
      <c r="BA601" s="278"/>
      <c r="BB601" s="278"/>
      <c r="BC601" s="278"/>
      <c r="BD601" s="278"/>
    </row>
    <row r="602" spans="1:56" ht="28.5">
      <c r="A602" s="937"/>
      <c r="B602" s="938"/>
      <c r="C602" s="938"/>
      <c r="D602" s="938"/>
      <c r="E602" s="938"/>
      <c r="F602" s="938"/>
      <c r="G602" s="938"/>
      <c r="H602" s="938"/>
      <c r="I602" s="412" t="s">
        <v>93</v>
      </c>
      <c r="J602" s="522"/>
      <c r="K602" s="522" t="s">
        <v>118</v>
      </c>
      <c r="L602" s="522"/>
      <c r="M602" s="522"/>
      <c r="N602" s="522"/>
      <c r="O602" s="412" t="s">
        <v>93</v>
      </c>
      <c r="P602" s="522"/>
      <c r="Q602" s="522" t="s">
        <v>118</v>
      </c>
      <c r="R602" s="522"/>
      <c r="S602" s="522"/>
      <c r="T602" s="522"/>
      <c r="U602" s="412" t="s">
        <v>93</v>
      </c>
      <c r="V602" s="522"/>
      <c r="W602" s="522" t="s">
        <v>118</v>
      </c>
      <c r="X602" s="522"/>
      <c r="Y602" s="522"/>
      <c r="Z602" s="522"/>
      <c r="AA602" s="412" t="s">
        <v>93</v>
      </c>
      <c r="AB602" s="522"/>
      <c r="AC602" s="522" t="s">
        <v>118</v>
      </c>
      <c r="AD602" s="522"/>
      <c r="AE602" s="522"/>
      <c r="AF602" s="522"/>
      <c r="AG602" s="412" t="s">
        <v>93</v>
      </c>
      <c r="AH602" s="522"/>
      <c r="AI602" s="522" t="s">
        <v>118</v>
      </c>
      <c r="AJ602" s="522"/>
      <c r="AK602" s="522"/>
      <c r="AL602" s="522"/>
      <c r="AM602" s="412" t="s">
        <v>93</v>
      </c>
      <c r="AN602" s="522"/>
      <c r="AO602" s="522" t="s">
        <v>118</v>
      </c>
      <c r="AP602" s="522"/>
      <c r="AQ602" s="634"/>
      <c r="AR602" s="606"/>
      <c r="AS602" s="394"/>
      <c r="AT602" s="393"/>
      <c r="AU602" s="395"/>
      <c r="AV602" s="278"/>
      <c r="AW602" s="278"/>
      <c r="AX602" s="278"/>
      <c r="AY602" s="278"/>
      <c r="AZ602" s="278"/>
      <c r="BA602" s="278"/>
      <c r="BB602" s="278"/>
      <c r="BC602" s="278"/>
      <c r="BD602" s="278"/>
    </row>
    <row r="603" spans="1:56" ht="42.75">
      <c r="A603" s="937"/>
      <c r="B603" s="938"/>
      <c r="C603" s="938"/>
      <c r="D603" s="938"/>
      <c r="E603" s="938"/>
      <c r="F603" s="938"/>
      <c r="G603" s="938"/>
      <c r="H603" s="938"/>
      <c r="I603" s="412" t="s">
        <v>463</v>
      </c>
      <c r="J603" s="522"/>
      <c r="K603" s="522" t="s">
        <v>2681</v>
      </c>
      <c r="L603" s="522"/>
      <c r="M603" s="522"/>
      <c r="N603" s="522"/>
      <c r="O603" s="412" t="s">
        <v>463</v>
      </c>
      <c r="P603" s="522"/>
      <c r="Q603" s="522" t="s">
        <v>2681</v>
      </c>
      <c r="R603" s="522"/>
      <c r="S603" s="522"/>
      <c r="T603" s="522"/>
      <c r="U603" s="412" t="s">
        <v>463</v>
      </c>
      <c r="V603" s="522"/>
      <c r="W603" s="522" t="s">
        <v>2681</v>
      </c>
      <c r="X603" s="522"/>
      <c r="Y603" s="522"/>
      <c r="Z603" s="522"/>
      <c r="AA603" s="412" t="s">
        <v>463</v>
      </c>
      <c r="AB603" s="522"/>
      <c r="AC603" s="522" t="s">
        <v>2681</v>
      </c>
      <c r="AD603" s="522"/>
      <c r="AE603" s="522"/>
      <c r="AF603" s="522"/>
      <c r="AG603" s="412" t="s">
        <v>463</v>
      </c>
      <c r="AH603" s="522"/>
      <c r="AI603" s="522" t="s">
        <v>2681</v>
      </c>
      <c r="AJ603" s="522"/>
      <c r="AK603" s="522"/>
      <c r="AL603" s="522"/>
      <c r="AM603" s="412" t="s">
        <v>463</v>
      </c>
      <c r="AN603" s="522"/>
      <c r="AO603" s="522" t="s">
        <v>2681</v>
      </c>
      <c r="AP603" s="522"/>
      <c r="AQ603" s="634"/>
      <c r="AR603" s="606"/>
      <c r="AS603" s="394"/>
      <c r="AT603" s="393"/>
      <c r="AU603" s="395"/>
      <c r="AV603" s="278"/>
      <c r="AW603" s="278"/>
      <c r="AX603" s="278"/>
      <c r="AY603" s="278"/>
      <c r="AZ603" s="278"/>
      <c r="BA603" s="278"/>
      <c r="BB603" s="278"/>
      <c r="BC603" s="278"/>
      <c r="BD603" s="278"/>
    </row>
    <row r="604" spans="1:56">
      <c r="A604" s="937"/>
      <c r="B604" s="938"/>
      <c r="C604" s="938"/>
      <c r="D604" s="938"/>
      <c r="E604" s="938"/>
      <c r="F604" s="938"/>
      <c r="G604" s="938"/>
      <c r="H604" s="938"/>
      <c r="I604" s="412" t="s">
        <v>464</v>
      </c>
      <c r="J604" s="522"/>
      <c r="K604" s="522" t="s">
        <v>32</v>
      </c>
      <c r="L604" s="522"/>
      <c r="M604" s="522"/>
      <c r="N604" s="522"/>
      <c r="O604" s="412" t="s">
        <v>464</v>
      </c>
      <c r="P604" s="522"/>
      <c r="Q604" s="522" t="s">
        <v>32</v>
      </c>
      <c r="R604" s="522"/>
      <c r="S604" s="522"/>
      <c r="T604" s="522"/>
      <c r="U604" s="412" t="s">
        <v>464</v>
      </c>
      <c r="V604" s="522"/>
      <c r="W604" s="522" t="s">
        <v>32</v>
      </c>
      <c r="X604" s="522"/>
      <c r="Y604" s="522"/>
      <c r="Z604" s="522"/>
      <c r="AA604" s="412" t="s">
        <v>464</v>
      </c>
      <c r="AB604" s="522"/>
      <c r="AC604" s="522" t="s">
        <v>32</v>
      </c>
      <c r="AD604" s="522"/>
      <c r="AE604" s="522"/>
      <c r="AF604" s="522"/>
      <c r="AG604" s="412" t="s">
        <v>464</v>
      </c>
      <c r="AH604" s="522"/>
      <c r="AI604" s="522" t="s">
        <v>32</v>
      </c>
      <c r="AJ604" s="522"/>
      <c r="AK604" s="522"/>
      <c r="AL604" s="522"/>
      <c r="AM604" s="412" t="s">
        <v>464</v>
      </c>
      <c r="AN604" s="522"/>
      <c r="AO604" s="522" t="s">
        <v>32</v>
      </c>
      <c r="AP604" s="522"/>
      <c r="AQ604" s="634"/>
      <c r="AR604" s="606"/>
      <c r="AS604" s="394"/>
      <c r="AT604" s="393"/>
      <c r="AU604" s="395"/>
      <c r="AV604" s="278"/>
      <c r="AW604" s="278"/>
      <c r="AX604" s="278"/>
      <c r="AY604" s="278"/>
      <c r="AZ604" s="278"/>
      <c r="BA604" s="278"/>
      <c r="BB604" s="278"/>
      <c r="BC604" s="278"/>
      <c r="BD604" s="278"/>
    </row>
    <row r="605" spans="1:56" ht="28.5">
      <c r="A605" s="937"/>
      <c r="B605" s="938"/>
      <c r="C605" s="938"/>
      <c r="D605" s="938"/>
      <c r="E605" s="938"/>
      <c r="F605" s="938"/>
      <c r="G605" s="938"/>
      <c r="H605" s="938"/>
      <c r="I605" s="412" t="s">
        <v>68</v>
      </c>
      <c r="J605" s="522"/>
      <c r="K605" s="522" t="s">
        <v>2681</v>
      </c>
      <c r="L605" s="522"/>
      <c r="M605" s="522"/>
      <c r="N605" s="522"/>
      <c r="O605" s="412" t="s">
        <v>68</v>
      </c>
      <c r="P605" s="522"/>
      <c r="Q605" s="522" t="s">
        <v>2681</v>
      </c>
      <c r="R605" s="522"/>
      <c r="S605" s="522"/>
      <c r="T605" s="522"/>
      <c r="U605" s="412" t="s">
        <v>68</v>
      </c>
      <c r="V605" s="522"/>
      <c r="W605" s="522" t="s">
        <v>2681</v>
      </c>
      <c r="X605" s="522"/>
      <c r="Y605" s="522"/>
      <c r="Z605" s="522"/>
      <c r="AA605" s="412" t="s">
        <v>68</v>
      </c>
      <c r="AB605" s="522"/>
      <c r="AC605" s="522" t="s">
        <v>2681</v>
      </c>
      <c r="AD605" s="522"/>
      <c r="AE605" s="522"/>
      <c r="AF605" s="522"/>
      <c r="AG605" s="412" t="s">
        <v>68</v>
      </c>
      <c r="AH605" s="522"/>
      <c r="AI605" s="522" t="s">
        <v>2681</v>
      </c>
      <c r="AJ605" s="522"/>
      <c r="AK605" s="522"/>
      <c r="AL605" s="522"/>
      <c r="AM605" s="412" t="s">
        <v>68</v>
      </c>
      <c r="AN605" s="522"/>
      <c r="AO605" s="522" t="s">
        <v>2681</v>
      </c>
      <c r="AP605" s="522"/>
      <c r="AQ605" s="634"/>
      <c r="AR605" s="606"/>
      <c r="AS605" s="394"/>
      <c r="AT605" s="393"/>
      <c r="AU605" s="395"/>
      <c r="AV605" s="278"/>
      <c r="AW605" s="278"/>
      <c r="AX605" s="278"/>
      <c r="AY605" s="278"/>
      <c r="AZ605" s="278"/>
      <c r="BA605" s="278"/>
      <c r="BB605" s="278"/>
      <c r="BC605" s="278"/>
      <c r="BD605" s="278"/>
    </row>
    <row r="606" spans="1:56" ht="42.75">
      <c r="A606" s="937"/>
      <c r="B606" s="938"/>
      <c r="C606" s="938"/>
      <c r="D606" s="938"/>
      <c r="E606" s="938"/>
      <c r="F606" s="938"/>
      <c r="G606" s="938"/>
      <c r="H606" s="938"/>
      <c r="I606" s="412" t="s">
        <v>465</v>
      </c>
      <c r="J606" s="522"/>
      <c r="K606" s="522" t="s">
        <v>2681</v>
      </c>
      <c r="L606" s="412"/>
      <c r="M606" s="412"/>
      <c r="N606" s="412"/>
      <c r="O606" s="412" t="s">
        <v>465</v>
      </c>
      <c r="P606" s="522"/>
      <c r="Q606" s="522" t="s">
        <v>2681</v>
      </c>
      <c r="R606" s="412"/>
      <c r="S606" s="412"/>
      <c r="T606" s="412"/>
      <c r="U606" s="412" t="s">
        <v>465</v>
      </c>
      <c r="V606" s="522"/>
      <c r="W606" s="522" t="s">
        <v>2681</v>
      </c>
      <c r="X606" s="412"/>
      <c r="Y606" s="412"/>
      <c r="Z606" s="412"/>
      <c r="AA606" s="412" t="s">
        <v>465</v>
      </c>
      <c r="AB606" s="522"/>
      <c r="AC606" s="522" t="s">
        <v>2681</v>
      </c>
      <c r="AD606" s="412"/>
      <c r="AE606" s="412"/>
      <c r="AF606" s="412"/>
      <c r="AG606" s="412" t="s">
        <v>465</v>
      </c>
      <c r="AH606" s="522"/>
      <c r="AI606" s="522" t="s">
        <v>2681</v>
      </c>
      <c r="AJ606" s="412"/>
      <c r="AK606" s="412"/>
      <c r="AL606" s="412"/>
      <c r="AM606" s="412" t="s">
        <v>465</v>
      </c>
      <c r="AN606" s="522"/>
      <c r="AO606" s="522" t="s">
        <v>2681</v>
      </c>
      <c r="AP606" s="522"/>
      <c r="AQ606" s="634"/>
      <c r="AR606" s="606"/>
      <c r="AS606" s="394"/>
      <c r="AT606" s="393"/>
      <c r="AU606" s="395"/>
      <c r="AV606" s="278"/>
      <c r="AW606" s="278"/>
      <c r="AX606" s="278"/>
      <c r="AY606" s="278"/>
      <c r="AZ606" s="278"/>
      <c r="BA606" s="278"/>
      <c r="BB606" s="278"/>
      <c r="BC606" s="278"/>
      <c r="BD606" s="278"/>
    </row>
    <row r="607" spans="1:56" ht="28.5">
      <c r="A607" s="937"/>
      <c r="B607" s="938"/>
      <c r="C607" s="938"/>
      <c r="D607" s="938"/>
      <c r="E607" s="938"/>
      <c r="F607" s="938"/>
      <c r="G607" s="938"/>
      <c r="H607" s="938"/>
      <c r="I607" s="412" t="s">
        <v>112</v>
      </c>
      <c r="J607" s="522"/>
      <c r="K607" s="522" t="s">
        <v>32</v>
      </c>
      <c r="L607" s="412"/>
      <c r="M607" s="412"/>
      <c r="N607" s="412"/>
      <c r="O607" s="412" t="s">
        <v>112</v>
      </c>
      <c r="P607" s="522"/>
      <c r="Q607" s="522" t="s">
        <v>32</v>
      </c>
      <c r="R607" s="412"/>
      <c r="S607" s="412"/>
      <c r="T607" s="412"/>
      <c r="U607" s="412" t="s">
        <v>112</v>
      </c>
      <c r="V607" s="522"/>
      <c r="W607" s="522" t="s">
        <v>32</v>
      </c>
      <c r="X607" s="412"/>
      <c r="Y607" s="412"/>
      <c r="Z607" s="412"/>
      <c r="AA607" s="412" t="s">
        <v>112</v>
      </c>
      <c r="AB607" s="522"/>
      <c r="AC607" s="522" t="s">
        <v>32</v>
      </c>
      <c r="AD607" s="412"/>
      <c r="AE607" s="412"/>
      <c r="AF607" s="412"/>
      <c r="AG607" s="412" t="s">
        <v>112</v>
      </c>
      <c r="AH607" s="522"/>
      <c r="AI607" s="522" t="s">
        <v>32</v>
      </c>
      <c r="AJ607" s="412"/>
      <c r="AK607" s="412"/>
      <c r="AL607" s="412"/>
      <c r="AM607" s="412" t="s">
        <v>112</v>
      </c>
      <c r="AN607" s="522"/>
      <c r="AO607" s="522" t="s">
        <v>32</v>
      </c>
      <c r="AP607" s="522"/>
      <c r="AQ607" s="634"/>
      <c r="AR607" s="606"/>
      <c r="AS607" s="394"/>
      <c r="AT607" s="393"/>
      <c r="AU607" s="395"/>
      <c r="AV607" s="278"/>
      <c r="AW607" s="278"/>
      <c r="AX607" s="278"/>
      <c r="AY607" s="278"/>
      <c r="AZ607" s="278"/>
      <c r="BA607" s="278"/>
      <c r="BB607" s="278"/>
      <c r="BC607" s="278"/>
      <c r="BD607" s="278"/>
    </row>
    <row r="608" spans="1:56" ht="42.75">
      <c r="A608" s="937"/>
      <c r="B608" s="938"/>
      <c r="C608" s="938"/>
      <c r="D608" s="938"/>
      <c r="E608" s="938"/>
      <c r="F608" s="938"/>
      <c r="G608" s="938"/>
      <c r="H608" s="938"/>
      <c r="I608" s="412" t="s">
        <v>466</v>
      </c>
      <c r="J608" s="522"/>
      <c r="K608" s="522" t="s">
        <v>32</v>
      </c>
      <c r="L608" s="412"/>
      <c r="M608" s="412"/>
      <c r="N608" s="412"/>
      <c r="O608" s="412" t="s">
        <v>466</v>
      </c>
      <c r="P608" s="522"/>
      <c r="Q608" s="522" t="s">
        <v>32</v>
      </c>
      <c r="R608" s="412"/>
      <c r="S608" s="412"/>
      <c r="T608" s="412"/>
      <c r="U608" s="412" t="s">
        <v>466</v>
      </c>
      <c r="V608" s="522"/>
      <c r="W608" s="522" t="s">
        <v>32</v>
      </c>
      <c r="X608" s="412"/>
      <c r="Y608" s="412"/>
      <c r="Z608" s="412"/>
      <c r="AA608" s="412" t="s">
        <v>466</v>
      </c>
      <c r="AB608" s="522"/>
      <c r="AC608" s="522" t="s">
        <v>32</v>
      </c>
      <c r="AD608" s="412"/>
      <c r="AE608" s="412"/>
      <c r="AF608" s="412"/>
      <c r="AG608" s="412" t="s">
        <v>466</v>
      </c>
      <c r="AH608" s="522"/>
      <c r="AI608" s="522" t="s">
        <v>32</v>
      </c>
      <c r="AJ608" s="412"/>
      <c r="AK608" s="412"/>
      <c r="AL608" s="412"/>
      <c r="AM608" s="412" t="s">
        <v>466</v>
      </c>
      <c r="AN608" s="522"/>
      <c r="AO608" s="522" t="s">
        <v>32</v>
      </c>
      <c r="AP608" s="522"/>
      <c r="AQ608" s="634"/>
      <c r="AR608" s="606"/>
      <c r="AS608" s="394"/>
      <c r="AT608" s="393"/>
      <c r="AU608" s="395"/>
      <c r="AV608" s="278"/>
      <c r="AW608" s="278"/>
      <c r="AX608" s="278"/>
      <c r="AY608" s="278"/>
      <c r="AZ608" s="278"/>
      <c r="BA608" s="278"/>
      <c r="BB608" s="278"/>
      <c r="BC608" s="278"/>
      <c r="BD608" s="278"/>
    </row>
    <row r="609" spans="1:56" ht="42.75">
      <c r="A609" s="937"/>
      <c r="B609" s="938"/>
      <c r="C609" s="938"/>
      <c r="D609" s="938"/>
      <c r="E609" s="938"/>
      <c r="F609" s="938"/>
      <c r="G609" s="938"/>
      <c r="H609" s="938"/>
      <c r="I609" s="412" t="s">
        <v>467</v>
      </c>
      <c r="J609" s="522"/>
      <c r="K609" s="522" t="s">
        <v>32</v>
      </c>
      <c r="L609" s="412"/>
      <c r="M609" s="412"/>
      <c r="N609" s="412"/>
      <c r="O609" s="412" t="s">
        <v>467</v>
      </c>
      <c r="P609" s="522"/>
      <c r="Q609" s="522" t="s">
        <v>32</v>
      </c>
      <c r="R609" s="412"/>
      <c r="S609" s="412"/>
      <c r="T609" s="412"/>
      <c r="U609" s="412" t="s">
        <v>467</v>
      </c>
      <c r="V609" s="522"/>
      <c r="W609" s="522" t="s">
        <v>32</v>
      </c>
      <c r="X609" s="412"/>
      <c r="Y609" s="412"/>
      <c r="Z609" s="412"/>
      <c r="AA609" s="412" t="s">
        <v>467</v>
      </c>
      <c r="AB609" s="522"/>
      <c r="AC609" s="522" t="s">
        <v>32</v>
      </c>
      <c r="AD609" s="412"/>
      <c r="AE609" s="412"/>
      <c r="AF609" s="412"/>
      <c r="AG609" s="412" t="s">
        <v>467</v>
      </c>
      <c r="AH609" s="522"/>
      <c r="AI609" s="522" t="s">
        <v>32</v>
      </c>
      <c r="AJ609" s="412"/>
      <c r="AK609" s="412"/>
      <c r="AL609" s="412"/>
      <c r="AM609" s="412" t="s">
        <v>467</v>
      </c>
      <c r="AN609" s="522"/>
      <c r="AO609" s="522" t="s">
        <v>32</v>
      </c>
      <c r="AP609" s="522"/>
      <c r="AQ609" s="634"/>
      <c r="AR609" s="606"/>
      <c r="AS609" s="394"/>
      <c r="AT609" s="393"/>
      <c r="AU609" s="395"/>
      <c r="AV609" s="278"/>
      <c r="AW609" s="278"/>
      <c r="AX609" s="278"/>
      <c r="AY609" s="278"/>
      <c r="AZ609" s="278"/>
      <c r="BA609" s="278"/>
      <c r="BB609" s="278"/>
      <c r="BC609" s="278"/>
      <c r="BD609" s="278"/>
    </row>
    <row r="610" spans="1:56" ht="42.75">
      <c r="A610" s="937"/>
      <c r="B610" s="938"/>
      <c r="C610" s="938"/>
      <c r="D610" s="938"/>
      <c r="E610" s="938"/>
      <c r="F610" s="938"/>
      <c r="G610" s="938"/>
      <c r="H610" s="938"/>
      <c r="I610" s="412" t="s">
        <v>468</v>
      </c>
      <c r="J610" s="522"/>
      <c r="K610" s="522" t="s">
        <v>118</v>
      </c>
      <c r="L610" s="412"/>
      <c r="M610" s="412"/>
      <c r="N610" s="412"/>
      <c r="O610" s="412" t="s">
        <v>468</v>
      </c>
      <c r="P610" s="522"/>
      <c r="Q610" s="522" t="s">
        <v>118</v>
      </c>
      <c r="R610" s="412"/>
      <c r="S610" s="412"/>
      <c r="T610" s="412"/>
      <c r="U610" s="412" t="s">
        <v>468</v>
      </c>
      <c r="V610" s="522"/>
      <c r="W610" s="522" t="s">
        <v>118</v>
      </c>
      <c r="X610" s="412"/>
      <c r="Y610" s="412"/>
      <c r="Z610" s="412"/>
      <c r="AA610" s="412" t="s">
        <v>468</v>
      </c>
      <c r="AB610" s="522"/>
      <c r="AC610" s="522" t="s">
        <v>118</v>
      </c>
      <c r="AD610" s="412"/>
      <c r="AE610" s="412"/>
      <c r="AF610" s="412"/>
      <c r="AG610" s="412" t="s">
        <v>468</v>
      </c>
      <c r="AH610" s="522"/>
      <c r="AI610" s="522" t="s">
        <v>118</v>
      </c>
      <c r="AJ610" s="412"/>
      <c r="AK610" s="412"/>
      <c r="AL610" s="412"/>
      <c r="AM610" s="412" t="s">
        <v>468</v>
      </c>
      <c r="AN610" s="522"/>
      <c r="AO610" s="522" t="s">
        <v>118</v>
      </c>
      <c r="AP610" s="522"/>
      <c r="AQ610" s="634"/>
      <c r="AR610" s="606"/>
      <c r="AS610" s="394"/>
      <c r="AT610" s="393"/>
      <c r="AU610" s="395"/>
      <c r="AV610" s="278"/>
      <c r="AW610" s="278"/>
      <c r="AX610" s="278"/>
      <c r="AY610" s="278"/>
      <c r="AZ610" s="278"/>
      <c r="BA610" s="278"/>
      <c r="BB610" s="278"/>
      <c r="BC610" s="278"/>
      <c r="BD610" s="278"/>
    </row>
    <row r="611" spans="1:56" ht="42.75">
      <c r="A611" s="937"/>
      <c r="B611" s="938"/>
      <c r="C611" s="938"/>
      <c r="D611" s="938"/>
      <c r="E611" s="938"/>
      <c r="F611" s="938"/>
      <c r="G611" s="938"/>
      <c r="H611" s="938"/>
      <c r="I611" s="412" t="s">
        <v>469</v>
      </c>
      <c r="J611" s="522"/>
      <c r="K611" s="522" t="s">
        <v>2681</v>
      </c>
      <c r="L611" s="412"/>
      <c r="M611" s="412"/>
      <c r="N611" s="412"/>
      <c r="O611" s="412" t="s">
        <v>469</v>
      </c>
      <c r="P611" s="522"/>
      <c r="Q611" s="522" t="s">
        <v>2681</v>
      </c>
      <c r="R611" s="412"/>
      <c r="S611" s="412"/>
      <c r="T611" s="412"/>
      <c r="U611" s="412" t="s">
        <v>469</v>
      </c>
      <c r="V611" s="522"/>
      <c r="W611" s="522" t="s">
        <v>2681</v>
      </c>
      <c r="X611" s="412"/>
      <c r="Y611" s="412"/>
      <c r="Z611" s="412"/>
      <c r="AA611" s="412" t="s">
        <v>469</v>
      </c>
      <c r="AB611" s="522"/>
      <c r="AC611" s="522" t="s">
        <v>2681</v>
      </c>
      <c r="AD611" s="412"/>
      <c r="AE611" s="412"/>
      <c r="AF611" s="412"/>
      <c r="AG611" s="412" t="s">
        <v>469</v>
      </c>
      <c r="AH611" s="522"/>
      <c r="AI611" s="522" t="s">
        <v>2681</v>
      </c>
      <c r="AJ611" s="412"/>
      <c r="AK611" s="412"/>
      <c r="AL611" s="412"/>
      <c r="AM611" s="412" t="s">
        <v>469</v>
      </c>
      <c r="AN611" s="522"/>
      <c r="AO611" s="522" t="s">
        <v>2681</v>
      </c>
      <c r="AP611" s="522"/>
      <c r="AQ611" s="634"/>
      <c r="AR611" s="606"/>
      <c r="AS611" s="394"/>
      <c r="AT611" s="393"/>
      <c r="AU611" s="395"/>
      <c r="AV611" s="278"/>
      <c r="AW611" s="278"/>
      <c r="AX611" s="278"/>
      <c r="AY611" s="278"/>
      <c r="AZ611" s="278"/>
      <c r="BA611" s="278"/>
      <c r="BB611" s="278"/>
      <c r="BC611" s="278"/>
      <c r="BD611" s="278"/>
    </row>
    <row r="612" spans="1:56" ht="71.25">
      <c r="A612" s="937"/>
      <c r="B612" s="938"/>
      <c r="C612" s="938"/>
      <c r="D612" s="938"/>
      <c r="E612" s="938"/>
      <c r="F612" s="938"/>
      <c r="G612" s="938"/>
      <c r="H612" s="938"/>
      <c r="I612" s="412" t="s">
        <v>470</v>
      </c>
      <c r="J612" s="522"/>
      <c r="K612" s="522" t="s">
        <v>118</v>
      </c>
      <c r="L612" s="412"/>
      <c r="M612" s="412"/>
      <c r="N612" s="412"/>
      <c r="O612" s="412" t="s">
        <v>470</v>
      </c>
      <c r="P612" s="522"/>
      <c r="Q612" s="522" t="s">
        <v>118</v>
      </c>
      <c r="R612" s="412"/>
      <c r="S612" s="412"/>
      <c r="T612" s="412"/>
      <c r="U612" s="412" t="s">
        <v>470</v>
      </c>
      <c r="V612" s="522"/>
      <c r="W612" s="522" t="s">
        <v>118</v>
      </c>
      <c r="X612" s="412"/>
      <c r="Y612" s="412"/>
      <c r="Z612" s="412"/>
      <c r="AA612" s="412" t="s">
        <v>470</v>
      </c>
      <c r="AB612" s="522"/>
      <c r="AC612" s="522" t="s">
        <v>118</v>
      </c>
      <c r="AD612" s="412"/>
      <c r="AE612" s="412"/>
      <c r="AF612" s="412"/>
      <c r="AG612" s="412" t="s">
        <v>470</v>
      </c>
      <c r="AH612" s="522"/>
      <c r="AI612" s="522" t="s">
        <v>118</v>
      </c>
      <c r="AJ612" s="412"/>
      <c r="AK612" s="412"/>
      <c r="AL612" s="412"/>
      <c r="AM612" s="412" t="s">
        <v>470</v>
      </c>
      <c r="AN612" s="522"/>
      <c r="AO612" s="522" t="s">
        <v>118</v>
      </c>
      <c r="AP612" s="522"/>
      <c r="AQ612" s="634"/>
      <c r="AR612" s="606"/>
      <c r="AS612" s="394"/>
      <c r="AT612" s="393"/>
      <c r="AU612" s="395"/>
      <c r="AV612" s="278"/>
      <c r="AW612" s="278"/>
      <c r="AX612" s="278"/>
      <c r="AY612" s="278"/>
      <c r="AZ612" s="278"/>
      <c r="BA612" s="278"/>
      <c r="BB612" s="278"/>
      <c r="BC612" s="278"/>
      <c r="BD612" s="278"/>
    </row>
    <row r="613" spans="1:56">
      <c r="A613" s="937"/>
      <c r="B613" s="938"/>
      <c r="C613" s="938"/>
      <c r="D613" s="938"/>
      <c r="E613" s="938"/>
      <c r="F613" s="938"/>
      <c r="G613" s="938"/>
      <c r="H613" s="938"/>
      <c r="I613" s="412" t="s">
        <v>471</v>
      </c>
      <c r="J613" s="522"/>
      <c r="K613" s="522"/>
      <c r="L613" s="413"/>
      <c r="M613" s="413"/>
      <c r="N613" s="413"/>
      <c r="O613" s="412" t="s">
        <v>471</v>
      </c>
      <c r="P613" s="522"/>
      <c r="Q613" s="522"/>
      <c r="R613" s="413"/>
      <c r="S613" s="413"/>
      <c r="T613" s="413"/>
      <c r="U613" s="412" t="s">
        <v>471</v>
      </c>
      <c r="V613" s="522"/>
      <c r="W613" s="522"/>
      <c r="X613" s="413"/>
      <c r="Y613" s="413"/>
      <c r="Z613" s="413"/>
      <c r="AA613" s="412" t="s">
        <v>471</v>
      </c>
      <c r="AB613" s="522"/>
      <c r="AC613" s="522"/>
      <c r="AD613" s="413"/>
      <c r="AE613" s="413"/>
      <c r="AF613" s="413"/>
      <c r="AG613" s="412" t="s">
        <v>471</v>
      </c>
      <c r="AH613" s="522"/>
      <c r="AI613" s="522"/>
      <c r="AJ613" s="413"/>
      <c r="AK613" s="413"/>
      <c r="AL613" s="413"/>
      <c r="AM613" s="412" t="s">
        <v>471</v>
      </c>
      <c r="AN613" s="522"/>
      <c r="AO613" s="522"/>
      <c r="AP613" s="522"/>
      <c r="AQ613" s="634"/>
      <c r="AR613" s="606"/>
      <c r="AS613" s="394"/>
      <c r="AT613" s="393"/>
      <c r="AU613" s="395"/>
      <c r="AV613" s="278"/>
      <c r="AW613" s="278"/>
      <c r="AX613" s="278"/>
      <c r="AY613" s="278"/>
      <c r="AZ613" s="278"/>
      <c r="BA613" s="278"/>
      <c r="BB613" s="278"/>
      <c r="BC613" s="278"/>
      <c r="BD613" s="278"/>
    </row>
    <row r="614" spans="1:56">
      <c r="A614" s="935" t="s">
        <v>3259</v>
      </c>
      <c r="B614" s="936"/>
      <c r="C614" s="936"/>
      <c r="D614" s="936"/>
      <c r="E614" s="408"/>
      <c r="F614" s="408"/>
      <c r="G614" s="408"/>
      <c r="H614" s="408"/>
      <c r="I614" s="400"/>
      <c r="J614" s="409"/>
      <c r="K614" s="400"/>
      <c r="L614" s="410"/>
      <c r="M614" s="410"/>
      <c r="N614" s="400"/>
      <c r="O614" s="400"/>
      <c r="P614" s="409"/>
      <c r="Q614" s="410"/>
      <c r="R614" s="410"/>
      <c r="S614" s="410"/>
      <c r="T614" s="400"/>
      <c r="U614" s="400"/>
      <c r="V614" s="409"/>
      <c r="W614" s="400"/>
      <c r="X614" s="410"/>
      <c r="Y614" s="410"/>
      <c r="Z614" s="400"/>
      <c r="AA614" s="400"/>
      <c r="AB614" s="409"/>
      <c r="AC614" s="400"/>
      <c r="AD614" s="410"/>
      <c r="AE614" s="410"/>
      <c r="AF614" s="400"/>
      <c r="AG614" s="400"/>
      <c r="AH614" s="409"/>
      <c r="AI614" s="400"/>
      <c r="AJ614" s="410"/>
      <c r="AK614" s="410"/>
      <c r="AL614" s="400"/>
      <c r="AM614" s="400"/>
      <c r="AN614" s="409"/>
      <c r="AO614" s="400"/>
      <c r="AP614" s="411"/>
      <c r="AQ614" s="634"/>
      <c r="AR614" s="606"/>
      <c r="AS614" s="394"/>
      <c r="AT614" s="393"/>
      <c r="AU614" s="395"/>
      <c r="AV614" s="278"/>
      <c r="AW614" s="278"/>
      <c r="AX614" s="278"/>
      <c r="AY614" s="278"/>
      <c r="AZ614" s="278"/>
      <c r="BA614" s="278"/>
      <c r="BB614" s="278"/>
      <c r="BC614" s="278"/>
      <c r="BD614" s="278"/>
    </row>
    <row r="615" spans="1:56">
      <c r="A615" s="937" t="s">
        <v>3260</v>
      </c>
      <c r="B615" s="938"/>
      <c r="C615" s="938"/>
      <c r="D615" s="938"/>
      <c r="E615" s="938"/>
      <c r="F615" s="938"/>
      <c r="G615" s="938"/>
      <c r="H615" s="938"/>
      <c r="I615" s="954" t="s">
        <v>114</v>
      </c>
      <c r="J615" s="522"/>
      <c r="K615" s="522" t="s">
        <v>17</v>
      </c>
      <c r="L615" s="522"/>
      <c r="M615" s="522"/>
      <c r="N615" s="522"/>
      <c r="O615" s="954" t="s">
        <v>114</v>
      </c>
      <c r="P615" s="522"/>
      <c r="Q615" s="522" t="s">
        <v>17</v>
      </c>
      <c r="R615" s="522"/>
      <c r="S615" s="522"/>
      <c r="T615" s="522"/>
      <c r="U615" s="954" t="s">
        <v>114</v>
      </c>
      <c r="V615" s="522"/>
      <c r="W615" s="522" t="s">
        <v>17</v>
      </c>
      <c r="X615" s="522"/>
      <c r="Y615" s="522"/>
      <c r="Z615" s="522"/>
      <c r="AA615" s="954" t="s">
        <v>114</v>
      </c>
      <c r="AB615" s="522"/>
      <c r="AC615" s="522" t="s">
        <v>17</v>
      </c>
      <c r="AD615" s="522"/>
      <c r="AE615" s="522"/>
      <c r="AF615" s="522"/>
      <c r="AG615" s="954" t="s">
        <v>114</v>
      </c>
      <c r="AH615" s="522"/>
      <c r="AI615" s="522" t="s">
        <v>17</v>
      </c>
      <c r="AJ615" s="522"/>
      <c r="AK615" s="522"/>
      <c r="AL615" s="522"/>
      <c r="AM615" s="954" t="s">
        <v>114</v>
      </c>
      <c r="AN615" s="522"/>
      <c r="AO615" s="522" t="s">
        <v>17</v>
      </c>
      <c r="AP615" s="522"/>
      <c r="AQ615" s="634"/>
      <c r="AR615" s="606"/>
      <c r="AS615" s="394"/>
      <c r="AT615" s="393"/>
      <c r="AU615" s="395"/>
      <c r="AV615" s="278"/>
      <c r="AW615" s="278"/>
      <c r="AX615" s="278"/>
      <c r="AY615" s="278"/>
      <c r="AZ615" s="278"/>
      <c r="BA615" s="278"/>
      <c r="BB615" s="278"/>
      <c r="BC615" s="278"/>
      <c r="BD615" s="278"/>
    </row>
    <row r="616" spans="1:56">
      <c r="A616" s="937"/>
      <c r="B616" s="938"/>
      <c r="C616" s="938"/>
      <c r="D616" s="938"/>
      <c r="E616" s="938"/>
      <c r="F616" s="938"/>
      <c r="G616" s="938"/>
      <c r="H616" s="938"/>
      <c r="I616" s="954"/>
      <c r="J616" s="522"/>
      <c r="K616" s="522" t="s">
        <v>32</v>
      </c>
      <c r="L616" s="522"/>
      <c r="M616" s="522"/>
      <c r="N616" s="522"/>
      <c r="O616" s="954"/>
      <c r="P616" s="522"/>
      <c r="Q616" s="522" t="s">
        <v>32</v>
      </c>
      <c r="R616" s="522"/>
      <c r="S616" s="522"/>
      <c r="T616" s="522"/>
      <c r="U616" s="954"/>
      <c r="V616" s="522"/>
      <c r="W616" s="522" t="s">
        <v>32</v>
      </c>
      <c r="X616" s="522"/>
      <c r="Y616" s="522"/>
      <c r="Z616" s="522"/>
      <c r="AA616" s="954"/>
      <c r="AB616" s="522"/>
      <c r="AC616" s="522" t="s">
        <v>32</v>
      </c>
      <c r="AD616" s="522"/>
      <c r="AE616" s="522"/>
      <c r="AF616" s="522"/>
      <c r="AG616" s="954"/>
      <c r="AH616" s="522"/>
      <c r="AI616" s="522" t="s">
        <v>32</v>
      </c>
      <c r="AJ616" s="522"/>
      <c r="AK616" s="522"/>
      <c r="AL616" s="522"/>
      <c r="AM616" s="954"/>
      <c r="AN616" s="522"/>
      <c r="AO616" s="522" t="s">
        <v>32</v>
      </c>
      <c r="AP616" s="522"/>
      <c r="AQ616" s="634"/>
      <c r="AR616" s="606"/>
      <c r="AS616" s="394"/>
      <c r="AT616" s="393"/>
      <c r="AU616" s="395"/>
      <c r="AV616" s="278"/>
      <c r="AW616" s="278"/>
      <c r="AX616" s="278"/>
      <c r="AY616" s="278"/>
      <c r="AZ616" s="278"/>
      <c r="BA616" s="278"/>
      <c r="BB616" s="278"/>
      <c r="BC616" s="278"/>
      <c r="BD616" s="278"/>
    </row>
    <row r="617" spans="1:56">
      <c r="A617" s="937"/>
      <c r="B617" s="938"/>
      <c r="C617" s="938"/>
      <c r="D617" s="938"/>
      <c r="E617" s="938"/>
      <c r="F617" s="938"/>
      <c r="G617" s="938"/>
      <c r="H617" s="938"/>
      <c r="I617" s="954" t="s">
        <v>115</v>
      </c>
      <c r="J617" s="522"/>
      <c r="K617" s="522" t="s">
        <v>17</v>
      </c>
      <c r="L617" s="522"/>
      <c r="M617" s="522"/>
      <c r="N617" s="522"/>
      <c r="O617" s="954" t="s">
        <v>115</v>
      </c>
      <c r="P617" s="522"/>
      <c r="Q617" s="522" t="s">
        <v>17</v>
      </c>
      <c r="R617" s="522"/>
      <c r="S617" s="522"/>
      <c r="T617" s="522"/>
      <c r="U617" s="954" t="s">
        <v>115</v>
      </c>
      <c r="V617" s="522"/>
      <c r="W617" s="522" t="s">
        <v>17</v>
      </c>
      <c r="X617" s="522"/>
      <c r="Y617" s="522"/>
      <c r="Z617" s="522"/>
      <c r="AA617" s="954" t="s">
        <v>115</v>
      </c>
      <c r="AB617" s="522"/>
      <c r="AC617" s="522" t="s">
        <v>17</v>
      </c>
      <c r="AD617" s="522"/>
      <c r="AE617" s="522"/>
      <c r="AF617" s="522"/>
      <c r="AG617" s="954" t="s">
        <v>115</v>
      </c>
      <c r="AH617" s="522"/>
      <c r="AI617" s="522" t="s">
        <v>17</v>
      </c>
      <c r="AJ617" s="522"/>
      <c r="AK617" s="522"/>
      <c r="AL617" s="522"/>
      <c r="AM617" s="954" t="s">
        <v>115</v>
      </c>
      <c r="AN617" s="522"/>
      <c r="AO617" s="522" t="s">
        <v>17</v>
      </c>
      <c r="AP617" s="522"/>
      <c r="AQ617" s="634"/>
      <c r="AR617" s="606"/>
      <c r="AS617" s="394"/>
      <c r="AT617" s="393"/>
      <c r="AU617" s="395"/>
      <c r="AV617" s="278"/>
      <c r="AW617" s="278"/>
      <c r="AX617" s="278"/>
      <c r="AY617" s="278"/>
      <c r="AZ617" s="278"/>
      <c r="BA617" s="278"/>
      <c r="BB617" s="278"/>
      <c r="BC617" s="278"/>
      <c r="BD617" s="278"/>
    </row>
    <row r="618" spans="1:56">
      <c r="A618" s="937"/>
      <c r="B618" s="938"/>
      <c r="C618" s="938"/>
      <c r="D618" s="938"/>
      <c r="E618" s="938"/>
      <c r="F618" s="938"/>
      <c r="G618" s="938"/>
      <c r="H618" s="938"/>
      <c r="I618" s="954"/>
      <c r="J618" s="522"/>
      <c r="K618" s="522" t="s">
        <v>32</v>
      </c>
      <c r="L618" s="522"/>
      <c r="M618" s="522"/>
      <c r="N618" s="522"/>
      <c r="O618" s="954"/>
      <c r="P618" s="522"/>
      <c r="Q618" s="522" t="s">
        <v>32</v>
      </c>
      <c r="R618" s="522"/>
      <c r="S618" s="522"/>
      <c r="T618" s="522"/>
      <c r="U618" s="954"/>
      <c r="V618" s="522"/>
      <c r="W618" s="522" t="s">
        <v>32</v>
      </c>
      <c r="X618" s="522"/>
      <c r="Y618" s="522"/>
      <c r="Z618" s="522"/>
      <c r="AA618" s="954"/>
      <c r="AB618" s="522"/>
      <c r="AC618" s="522" t="s">
        <v>32</v>
      </c>
      <c r="AD618" s="522"/>
      <c r="AE618" s="522"/>
      <c r="AF618" s="522"/>
      <c r="AG618" s="954"/>
      <c r="AH618" s="522"/>
      <c r="AI618" s="522" t="s">
        <v>32</v>
      </c>
      <c r="AJ618" s="522"/>
      <c r="AK618" s="522"/>
      <c r="AL618" s="522"/>
      <c r="AM618" s="954"/>
      <c r="AN618" s="522"/>
      <c r="AO618" s="522" t="s">
        <v>32</v>
      </c>
      <c r="AP618" s="522"/>
      <c r="AQ618" s="634"/>
      <c r="AR618" s="606"/>
      <c r="AS618" s="394"/>
      <c r="AT618" s="393"/>
      <c r="AU618" s="395"/>
      <c r="AV618" s="278"/>
      <c r="AW618" s="278"/>
      <c r="AX618" s="278"/>
      <c r="AY618" s="278"/>
      <c r="AZ618" s="278"/>
      <c r="BA618" s="278"/>
      <c r="BB618" s="278"/>
      <c r="BC618" s="278"/>
      <c r="BD618" s="278"/>
    </row>
    <row r="619" spans="1:56">
      <c r="A619" s="937"/>
      <c r="B619" s="938"/>
      <c r="C619" s="938"/>
      <c r="D619" s="938"/>
      <c r="E619" s="938"/>
      <c r="F619" s="938"/>
      <c r="G619" s="938"/>
      <c r="H619" s="938"/>
      <c r="I619" s="954" t="s">
        <v>116</v>
      </c>
      <c r="J619" s="522"/>
      <c r="K619" s="522" t="s">
        <v>17</v>
      </c>
      <c r="L619" s="522"/>
      <c r="M619" s="522"/>
      <c r="N619" s="522"/>
      <c r="O619" s="954" t="s">
        <v>116</v>
      </c>
      <c r="P619" s="522"/>
      <c r="Q619" s="522" t="s">
        <v>17</v>
      </c>
      <c r="R619" s="522"/>
      <c r="S619" s="522"/>
      <c r="T619" s="522"/>
      <c r="U619" s="954" t="s">
        <v>116</v>
      </c>
      <c r="V619" s="522"/>
      <c r="W619" s="522" t="s">
        <v>17</v>
      </c>
      <c r="X619" s="522"/>
      <c r="Y619" s="522"/>
      <c r="Z619" s="522"/>
      <c r="AA619" s="954" t="s">
        <v>116</v>
      </c>
      <c r="AB619" s="522"/>
      <c r="AC619" s="522" t="s">
        <v>17</v>
      </c>
      <c r="AD619" s="522"/>
      <c r="AE619" s="522"/>
      <c r="AF619" s="522"/>
      <c r="AG619" s="954" t="s">
        <v>116</v>
      </c>
      <c r="AH619" s="522"/>
      <c r="AI619" s="522" t="s">
        <v>17</v>
      </c>
      <c r="AJ619" s="522"/>
      <c r="AK619" s="522"/>
      <c r="AL619" s="522"/>
      <c r="AM619" s="954" t="s">
        <v>116</v>
      </c>
      <c r="AN619" s="522"/>
      <c r="AO619" s="522" t="s">
        <v>17</v>
      </c>
      <c r="AP619" s="522"/>
      <c r="AQ619" s="634"/>
      <c r="AR619" s="606"/>
      <c r="AS619" s="394"/>
      <c r="AT619" s="393"/>
      <c r="AU619" s="395"/>
      <c r="AV619" s="278"/>
      <c r="AW619" s="278"/>
      <c r="AX619" s="278"/>
      <c r="AY619" s="278"/>
      <c r="AZ619" s="278"/>
      <c r="BA619" s="278"/>
      <c r="BB619" s="278"/>
      <c r="BC619" s="278"/>
      <c r="BD619" s="278"/>
    </row>
    <row r="620" spans="1:56">
      <c r="A620" s="937"/>
      <c r="B620" s="938"/>
      <c r="C620" s="938"/>
      <c r="D620" s="938"/>
      <c r="E620" s="938"/>
      <c r="F620" s="938"/>
      <c r="G620" s="938"/>
      <c r="H620" s="938"/>
      <c r="I620" s="954"/>
      <c r="J620" s="522"/>
      <c r="K620" s="522" t="s">
        <v>32</v>
      </c>
      <c r="L620" s="522"/>
      <c r="M620" s="522"/>
      <c r="N620" s="522"/>
      <c r="O620" s="954"/>
      <c r="P620" s="522"/>
      <c r="Q620" s="522" t="s">
        <v>32</v>
      </c>
      <c r="R620" s="522"/>
      <c r="S620" s="522"/>
      <c r="T620" s="522"/>
      <c r="U620" s="954"/>
      <c r="V620" s="522"/>
      <c r="W620" s="522" t="s">
        <v>32</v>
      </c>
      <c r="X620" s="522"/>
      <c r="Y620" s="522"/>
      <c r="Z620" s="522"/>
      <c r="AA620" s="954"/>
      <c r="AB620" s="522"/>
      <c r="AC620" s="522" t="s">
        <v>32</v>
      </c>
      <c r="AD620" s="522"/>
      <c r="AE620" s="522"/>
      <c r="AF620" s="522"/>
      <c r="AG620" s="954"/>
      <c r="AH620" s="522"/>
      <c r="AI620" s="522" t="s">
        <v>32</v>
      </c>
      <c r="AJ620" s="522"/>
      <c r="AK620" s="522"/>
      <c r="AL620" s="522"/>
      <c r="AM620" s="954"/>
      <c r="AN620" s="522"/>
      <c r="AO620" s="522" t="s">
        <v>32</v>
      </c>
      <c r="AP620" s="522"/>
      <c r="AQ620" s="634"/>
      <c r="AR620" s="606"/>
      <c r="AS620" s="394"/>
      <c r="AT620" s="393"/>
      <c r="AU620" s="395"/>
      <c r="AV620" s="278"/>
      <c r="AW620" s="278"/>
      <c r="AX620" s="278"/>
      <c r="AY620" s="278"/>
      <c r="AZ620" s="278"/>
      <c r="BA620" s="278"/>
      <c r="BB620" s="278"/>
      <c r="BC620" s="278"/>
      <c r="BD620" s="278"/>
    </row>
    <row r="621" spans="1:56">
      <c r="A621" s="937"/>
      <c r="B621" s="938"/>
      <c r="C621" s="938"/>
      <c r="D621" s="938"/>
      <c r="E621" s="938"/>
      <c r="F621" s="938"/>
      <c r="G621" s="938"/>
      <c r="H621" s="938"/>
      <c r="I621" s="954" t="s">
        <v>117</v>
      </c>
      <c r="J621" s="522"/>
      <c r="K621" s="522" t="s">
        <v>17</v>
      </c>
      <c r="L621" s="522"/>
      <c r="M621" s="522"/>
      <c r="N621" s="522"/>
      <c r="O621" s="954" t="s">
        <v>117</v>
      </c>
      <c r="P621" s="522"/>
      <c r="Q621" s="522" t="s">
        <v>17</v>
      </c>
      <c r="R621" s="522"/>
      <c r="S621" s="522"/>
      <c r="T621" s="522"/>
      <c r="U621" s="954" t="s">
        <v>117</v>
      </c>
      <c r="V621" s="522"/>
      <c r="W621" s="522" t="s">
        <v>17</v>
      </c>
      <c r="X621" s="522"/>
      <c r="Y621" s="522"/>
      <c r="Z621" s="522"/>
      <c r="AA621" s="954" t="s">
        <v>117</v>
      </c>
      <c r="AB621" s="522"/>
      <c r="AC621" s="522" t="s">
        <v>17</v>
      </c>
      <c r="AD621" s="522"/>
      <c r="AE621" s="522"/>
      <c r="AF621" s="522"/>
      <c r="AG621" s="954" t="s">
        <v>117</v>
      </c>
      <c r="AH621" s="522"/>
      <c r="AI621" s="522" t="s">
        <v>17</v>
      </c>
      <c r="AJ621" s="522"/>
      <c r="AK621" s="522"/>
      <c r="AL621" s="522"/>
      <c r="AM621" s="954" t="s">
        <v>117</v>
      </c>
      <c r="AN621" s="522"/>
      <c r="AO621" s="522" t="s">
        <v>17</v>
      </c>
      <c r="AP621" s="522"/>
      <c r="AQ621" s="634"/>
      <c r="AR621" s="606"/>
      <c r="AS621" s="394"/>
      <c r="AT621" s="393"/>
      <c r="AU621" s="395"/>
      <c r="AV621" s="278"/>
      <c r="AW621" s="278"/>
      <c r="AX621" s="278"/>
      <c r="AY621" s="278"/>
      <c r="AZ621" s="278"/>
      <c r="BA621" s="278"/>
      <c r="BB621" s="278"/>
      <c r="BC621" s="278"/>
      <c r="BD621" s="278"/>
    </row>
    <row r="622" spans="1:56">
      <c r="A622" s="937"/>
      <c r="B622" s="938"/>
      <c r="C622" s="938"/>
      <c r="D622" s="938"/>
      <c r="E622" s="938"/>
      <c r="F622" s="938"/>
      <c r="G622" s="938"/>
      <c r="H622" s="938"/>
      <c r="I622" s="954"/>
      <c r="J622" s="522"/>
      <c r="K622" s="522" t="s">
        <v>32</v>
      </c>
      <c r="L622" s="522"/>
      <c r="M622" s="522"/>
      <c r="N622" s="522"/>
      <c r="O622" s="954"/>
      <c r="P622" s="522"/>
      <c r="Q622" s="522" t="s">
        <v>32</v>
      </c>
      <c r="R622" s="522"/>
      <c r="S622" s="522"/>
      <c r="T622" s="522"/>
      <c r="U622" s="954"/>
      <c r="V622" s="522"/>
      <c r="W622" s="522" t="s">
        <v>32</v>
      </c>
      <c r="X622" s="522"/>
      <c r="Y622" s="522"/>
      <c r="Z622" s="522"/>
      <c r="AA622" s="954"/>
      <c r="AB622" s="522"/>
      <c r="AC622" s="522" t="s">
        <v>32</v>
      </c>
      <c r="AD622" s="522"/>
      <c r="AE622" s="522"/>
      <c r="AF622" s="522"/>
      <c r="AG622" s="954"/>
      <c r="AH622" s="522"/>
      <c r="AI622" s="522" t="s">
        <v>32</v>
      </c>
      <c r="AJ622" s="522"/>
      <c r="AK622" s="522"/>
      <c r="AL622" s="522"/>
      <c r="AM622" s="954"/>
      <c r="AN622" s="522"/>
      <c r="AO622" s="522" t="s">
        <v>32</v>
      </c>
      <c r="AP622" s="522"/>
      <c r="AQ622" s="634"/>
      <c r="AR622" s="606"/>
      <c r="AS622" s="394"/>
      <c r="AT622" s="393"/>
      <c r="AU622" s="395"/>
      <c r="AV622" s="278"/>
      <c r="AW622" s="278"/>
      <c r="AX622" s="278"/>
      <c r="AY622" s="278"/>
      <c r="AZ622" s="278"/>
      <c r="BA622" s="278"/>
      <c r="BB622" s="278"/>
      <c r="BC622" s="278"/>
      <c r="BD622" s="278"/>
    </row>
    <row r="623" spans="1:56">
      <c r="A623" s="937"/>
      <c r="B623" s="938"/>
      <c r="C623" s="938"/>
      <c r="D623" s="938"/>
      <c r="E623" s="938"/>
      <c r="F623" s="938"/>
      <c r="G623" s="938"/>
      <c r="H623" s="938"/>
      <c r="I623" s="939" t="s">
        <v>462</v>
      </c>
      <c r="J623" s="522"/>
      <c r="K623" s="522" t="s">
        <v>32</v>
      </c>
      <c r="L623" s="939"/>
      <c r="M623" s="522"/>
      <c r="N623" s="522"/>
      <c r="O623" s="939" t="s">
        <v>462</v>
      </c>
      <c r="P623" s="522"/>
      <c r="Q623" s="522" t="s">
        <v>32</v>
      </c>
      <c r="R623" s="939"/>
      <c r="S623" s="522"/>
      <c r="T623" s="522"/>
      <c r="U623" s="939" t="s">
        <v>462</v>
      </c>
      <c r="V623" s="522"/>
      <c r="W623" s="522" t="s">
        <v>32</v>
      </c>
      <c r="X623" s="939"/>
      <c r="Y623" s="522"/>
      <c r="Z623" s="522"/>
      <c r="AA623" s="939" t="s">
        <v>462</v>
      </c>
      <c r="AB623" s="522"/>
      <c r="AC623" s="522" t="s">
        <v>32</v>
      </c>
      <c r="AD623" s="939"/>
      <c r="AE623" s="522"/>
      <c r="AF623" s="522"/>
      <c r="AG623" s="939" t="s">
        <v>462</v>
      </c>
      <c r="AH623" s="522"/>
      <c r="AI623" s="522" t="s">
        <v>32</v>
      </c>
      <c r="AJ623" s="939"/>
      <c r="AK623" s="522"/>
      <c r="AL623" s="522"/>
      <c r="AM623" s="939" t="s">
        <v>462</v>
      </c>
      <c r="AN623" s="522"/>
      <c r="AO623" s="522" t="s">
        <v>32</v>
      </c>
      <c r="AP623" s="522"/>
      <c r="AQ623" s="634"/>
      <c r="AR623" s="606"/>
      <c r="AS623" s="394"/>
      <c r="AT623" s="393"/>
      <c r="AU623" s="395"/>
      <c r="AV623" s="278"/>
      <c r="AW623" s="278"/>
      <c r="AX623" s="278"/>
      <c r="AY623" s="278"/>
      <c r="AZ623" s="278"/>
      <c r="BA623" s="278"/>
      <c r="BB623" s="278"/>
      <c r="BC623" s="278"/>
      <c r="BD623" s="278"/>
    </row>
    <row r="624" spans="1:56">
      <c r="A624" s="937"/>
      <c r="B624" s="938"/>
      <c r="C624" s="938"/>
      <c r="D624" s="938"/>
      <c r="E624" s="938"/>
      <c r="F624" s="938"/>
      <c r="G624" s="938"/>
      <c r="H624" s="938"/>
      <c r="I624" s="939"/>
      <c r="J624" s="522"/>
      <c r="K624" s="522" t="s">
        <v>17</v>
      </c>
      <c r="L624" s="939"/>
      <c r="M624" s="522"/>
      <c r="N624" s="522"/>
      <c r="O624" s="939"/>
      <c r="P624" s="522"/>
      <c r="Q624" s="522" t="s">
        <v>17</v>
      </c>
      <c r="R624" s="939"/>
      <c r="S624" s="522"/>
      <c r="T624" s="522"/>
      <c r="U624" s="939"/>
      <c r="V624" s="522"/>
      <c r="W624" s="522" t="s">
        <v>17</v>
      </c>
      <c r="X624" s="939"/>
      <c r="Y624" s="522"/>
      <c r="Z624" s="522"/>
      <c r="AA624" s="939"/>
      <c r="AB624" s="522"/>
      <c r="AC624" s="522" t="s">
        <v>17</v>
      </c>
      <c r="AD624" s="939"/>
      <c r="AE624" s="522"/>
      <c r="AF624" s="522"/>
      <c r="AG624" s="939"/>
      <c r="AH624" s="522"/>
      <c r="AI624" s="522" t="s">
        <v>17</v>
      </c>
      <c r="AJ624" s="939"/>
      <c r="AK624" s="522"/>
      <c r="AL624" s="522"/>
      <c r="AM624" s="939"/>
      <c r="AN624" s="522"/>
      <c r="AO624" s="522" t="s">
        <v>17</v>
      </c>
      <c r="AP624" s="522"/>
      <c r="AQ624" s="634"/>
      <c r="AR624" s="606"/>
      <c r="AS624" s="394"/>
      <c r="AT624" s="393"/>
      <c r="AU624" s="395"/>
      <c r="AV624" s="278"/>
      <c r="AW624" s="278"/>
      <c r="AX624" s="278"/>
      <c r="AY624" s="278"/>
      <c r="AZ624" s="278"/>
      <c r="BA624" s="278"/>
      <c r="BB624" s="278"/>
      <c r="BC624" s="278"/>
      <c r="BD624" s="278"/>
    </row>
    <row r="625" spans="1:56" ht="42.75">
      <c r="A625" s="937"/>
      <c r="B625" s="938"/>
      <c r="C625" s="938"/>
      <c r="D625" s="938"/>
      <c r="E625" s="938"/>
      <c r="F625" s="938"/>
      <c r="G625" s="938"/>
      <c r="H625" s="938"/>
      <c r="I625" s="412" t="s">
        <v>120</v>
      </c>
      <c r="J625" s="522"/>
      <c r="K625" s="522" t="s">
        <v>118</v>
      </c>
      <c r="L625" s="522"/>
      <c r="M625" s="522"/>
      <c r="N625" s="522"/>
      <c r="O625" s="412" t="s">
        <v>120</v>
      </c>
      <c r="P625" s="522"/>
      <c r="Q625" s="522" t="s">
        <v>118</v>
      </c>
      <c r="R625" s="522"/>
      <c r="S625" s="522"/>
      <c r="T625" s="522"/>
      <c r="U625" s="412" t="s">
        <v>120</v>
      </c>
      <c r="V625" s="522"/>
      <c r="W625" s="522" t="s">
        <v>118</v>
      </c>
      <c r="X625" s="522"/>
      <c r="Y625" s="522"/>
      <c r="Z625" s="522"/>
      <c r="AA625" s="412" t="s">
        <v>120</v>
      </c>
      <c r="AB625" s="522"/>
      <c r="AC625" s="522" t="s">
        <v>118</v>
      </c>
      <c r="AD625" s="522"/>
      <c r="AE625" s="522"/>
      <c r="AF625" s="522"/>
      <c r="AG625" s="412" t="s">
        <v>120</v>
      </c>
      <c r="AH625" s="522"/>
      <c r="AI625" s="522" t="s">
        <v>118</v>
      </c>
      <c r="AJ625" s="522"/>
      <c r="AK625" s="522"/>
      <c r="AL625" s="522"/>
      <c r="AM625" s="412" t="s">
        <v>120</v>
      </c>
      <c r="AN625" s="522"/>
      <c r="AO625" s="522" t="s">
        <v>118</v>
      </c>
      <c r="AP625" s="522"/>
      <c r="AQ625" s="634"/>
      <c r="AR625" s="606"/>
      <c r="AS625" s="394"/>
      <c r="AT625" s="393"/>
      <c r="AU625" s="395"/>
      <c r="AV625" s="278"/>
      <c r="AW625" s="278"/>
      <c r="AX625" s="278"/>
      <c r="AY625" s="278"/>
      <c r="AZ625" s="278"/>
      <c r="BA625" s="278"/>
      <c r="BB625" s="278"/>
      <c r="BC625" s="278"/>
      <c r="BD625" s="278"/>
    </row>
    <row r="626" spans="1:56" ht="28.5">
      <c r="A626" s="937"/>
      <c r="B626" s="938"/>
      <c r="C626" s="938"/>
      <c r="D626" s="938"/>
      <c r="E626" s="938"/>
      <c r="F626" s="938"/>
      <c r="G626" s="938"/>
      <c r="H626" s="938"/>
      <c r="I626" s="412" t="s">
        <v>93</v>
      </c>
      <c r="J626" s="522"/>
      <c r="K626" s="522" t="s">
        <v>118</v>
      </c>
      <c r="L626" s="522"/>
      <c r="M626" s="522"/>
      <c r="N626" s="522"/>
      <c r="O626" s="412" t="s">
        <v>93</v>
      </c>
      <c r="P626" s="522"/>
      <c r="Q626" s="522" t="s">
        <v>118</v>
      </c>
      <c r="R626" s="522"/>
      <c r="S626" s="522"/>
      <c r="T626" s="522"/>
      <c r="U626" s="412" t="s">
        <v>93</v>
      </c>
      <c r="V626" s="522"/>
      <c r="W626" s="522" t="s">
        <v>118</v>
      </c>
      <c r="X626" s="522"/>
      <c r="Y626" s="522"/>
      <c r="Z626" s="522"/>
      <c r="AA626" s="412" t="s">
        <v>93</v>
      </c>
      <c r="AB626" s="522"/>
      <c r="AC626" s="522" t="s">
        <v>118</v>
      </c>
      <c r="AD626" s="522"/>
      <c r="AE626" s="522"/>
      <c r="AF626" s="522"/>
      <c r="AG626" s="412" t="s">
        <v>93</v>
      </c>
      <c r="AH626" s="522"/>
      <c r="AI626" s="522" t="s">
        <v>118</v>
      </c>
      <c r="AJ626" s="522"/>
      <c r="AK626" s="522"/>
      <c r="AL626" s="522"/>
      <c r="AM626" s="412" t="s">
        <v>93</v>
      </c>
      <c r="AN626" s="522"/>
      <c r="AO626" s="522" t="s">
        <v>118</v>
      </c>
      <c r="AP626" s="522"/>
      <c r="AQ626" s="634"/>
      <c r="AR626" s="606"/>
      <c r="AS626" s="394"/>
      <c r="AT626" s="393"/>
      <c r="AU626" s="395"/>
      <c r="AV626" s="278"/>
      <c r="AW626" s="278"/>
      <c r="AX626" s="278"/>
      <c r="AY626" s="278"/>
      <c r="AZ626" s="278"/>
      <c r="BA626" s="278"/>
      <c r="BB626" s="278"/>
      <c r="BC626" s="278"/>
      <c r="BD626" s="278"/>
    </row>
    <row r="627" spans="1:56" ht="42.75">
      <c r="A627" s="937"/>
      <c r="B627" s="938"/>
      <c r="C627" s="938"/>
      <c r="D627" s="938"/>
      <c r="E627" s="938"/>
      <c r="F627" s="938"/>
      <c r="G627" s="938"/>
      <c r="H627" s="938"/>
      <c r="I627" s="412" t="s">
        <v>463</v>
      </c>
      <c r="J627" s="522"/>
      <c r="K627" s="522" t="s">
        <v>2681</v>
      </c>
      <c r="L627" s="522"/>
      <c r="M627" s="522"/>
      <c r="N627" s="522"/>
      <c r="O627" s="412" t="s">
        <v>463</v>
      </c>
      <c r="P627" s="522"/>
      <c r="Q627" s="522" t="s">
        <v>2681</v>
      </c>
      <c r="R627" s="522"/>
      <c r="S627" s="522"/>
      <c r="T627" s="522"/>
      <c r="U627" s="412" t="s">
        <v>463</v>
      </c>
      <c r="V627" s="522"/>
      <c r="W627" s="522" t="s">
        <v>2681</v>
      </c>
      <c r="X627" s="522"/>
      <c r="Y627" s="522"/>
      <c r="Z627" s="522"/>
      <c r="AA627" s="412" t="s">
        <v>463</v>
      </c>
      <c r="AB627" s="522"/>
      <c r="AC627" s="522" t="s">
        <v>2681</v>
      </c>
      <c r="AD627" s="522"/>
      <c r="AE627" s="522"/>
      <c r="AF627" s="522"/>
      <c r="AG627" s="412" t="s">
        <v>463</v>
      </c>
      <c r="AH627" s="522"/>
      <c r="AI627" s="522" t="s">
        <v>2681</v>
      </c>
      <c r="AJ627" s="522"/>
      <c r="AK627" s="522"/>
      <c r="AL627" s="522"/>
      <c r="AM627" s="412" t="s">
        <v>463</v>
      </c>
      <c r="AN627" s="522"/>
      <c r="AO627" s="522" t="s">
        <v>2681</v>
      </c>
      <c r="AP627" s="522"/>
      <c r="AQ627" s="634"/>
      <c r="AR627" s="606"/>
      <c r="AS627" s="394"/>
      <c r="AT627" s="393"/>
      <c r="AU627" s="395"/>
      <c r="AV627" s="278"/>
      <c r="AW627" s="278"/>
      <c r="AX627" s="278"/>
      <c r="AY627" s="278"/>
      <c r="AZ627" s="278"/>
      <c r="BA627" s="278"/>
      <c r="BB627" s="278"/>
      <c r="BC627" s="278"/>
      <c r="BD627" s="278"/>
    </row>
    <row r="628" spans="1:56">
      <c r="A628" s="937"/>
      <c r="B628" s="938"/>
      <c r="C628" s="938"/>
      <c r="D628" s="938"/>
      <c r="E628" s="938"/>
      <c r="F628" s="938"/>
      <c r="G628" s="938"/>
      <c r="H628" s="938"/>
      <c r="I628" s="412" t="s">
        <v>464</v>
      </c>
      <c r="J628" s="522"/>
      <c r="K628" s="522" t="s">
        <v>32</v>
      </c>
      <c r="L628" s="522"/>
      <c r="M628" s="522"/>
      <c r="N628" s="522"/>
      <c r="O628" s="412" t="s">
        <v>464</v>
      </c>
      <c r="P628" s="522"/>
      <c r="Q628" s="522" t="s">
        <v>32</v>
      </c>
      <c r="R628" s="522"/>
      <c r="S628" s="522"/>
      <c r="T628" s="522"/>
      <c r="U628" s="412" t="s">
        <v>464</v>
      </c>
      <c r="V628" s="522"/>
      <c r="W628" s="522" t="s">
        <v>32</v>
      </c>
      <c r="X628" s="522"/>
      <c r="Y628" s="522"/>
      <c r="Z628" s="522"/>
      <c r="AA628" s="412" t="s">
        <v>464</v>
      </c>
      <c r="AB628" s="522"/>
      <c r="AC628" s="522" t="s">
        <v>32</v>
      </c>
      <c r="AD628" s="522"/>
      <c r="AE628" s="522"/>
      <c r="AF628" s="522"/>
      <c r="AG628" s="412" t="s">
        <v>464</v>
      </c>
      <c r="AH628" s="522"/>
      <c r="AI628" s="522" t="s">
        <v>32</v>
      </c>
      <c r="AJ628" s="522"/>
      <c r="AK628" s="522"/>
      <c r="AL628" s="522"/>
      <c r="AM628" s="412" t="s">
        <v>464</v>
      </c>
      <c r="AN628" s="522"/>
      <c r="AO628" s="522" t="s">
        <v>32</v>
      </c>
      <c r="AP628" s="522"/>
      <c r="AQ628" s="634"/>
      <c r="AR628" s="606"/>
      <c r="AS628" s="394"/>
      <c r="AT628" s="393"/>
      <c r="AU628" s="395"/>
      <c r="AV628" s="278"/>
      <c r="AW628" s="278"/>
      <c r="AX628" s="278"/>
      <c r="AY628" s="278"/>
      <c r="AZ628" s="278"/>
      <c r="BA628" s="278"/>
      <c r="BB628" s="278"/>
      <c r="BC628" s="278"/>
      <c r="BD628" s="278"/>
    </row>
    <row r="629" spans="1:56" ht="28.5">
      <c r="A629" s="937"/>
      <c r="B629" s="938"/>
      <c r="C629" s="938"/>
      <c r="D629" s="938"/>
      <c r="E629" s="938"/>
      <c r="F629" s="938"/>
      <c r="G629" s="938"/>
      <c r="H629" s="938"/>
      <c r="I629" s="412" t="s">
        <v>68</v>
      </c>
      <c r="J629" s="522"/>
      <c r="K629" s="522" t="s">
        <v>2681</v>
      </c>
      <c r="L629" s="522"/>
      <c r="M629" s="522"/>
      <c r="N629" s="522"/>
      <c r="O629" s="412" t="s">
        <v>68</v>
      </c>
      <c r="P629" s="522"/>
      <c r="Q629" s="522" t="s">
        <v>2681</v>
      </c>
      <c r="R629" s="522"/>
      <c r="S629" s="522"/>
      <c r="T629" s="522"/>
      <c r="U629" s="412" t="s">
        <v>68</v>
      </c>
      <c r="V629" s="522"/>
      <c r="W629" s="522" t="s">
        <v>2681</v>
      </c>
      <c r="X629" s="522"/>
      <c r="Y629" s="522"/>
      <c r="Z629" s="522"/>
      <c r="AA629" s="412" t="s">
        <v>68</v>
      </c>
      <c r="AB629" s="522"/>
      <c r="AC629" s="522" t="s">
        <v>2681</v>
      </c>
      <c r="AD629" s="522"/>
      <c r="AE629" s="522"/>
      <c r="AF629" s="522"/>
      <c r="AG629" s="412" t="s">
        <v>68</v>
      </c>
      <c r="AH629" s="522"/>
      <c r="AI629" s="522" t="s">
        <v>2681</v>
      </c>
      <c r="AJ629" s="522"/>
      <c r="AK629" s="522"/>
      <c r="AL629" s="522"/>
      <c r="AM629" s="412" t="s">
        <v>68</v>
      </c>
      <c r="AN629" s="522"/>
      <c r="AO629" s="522" t="s">
        <v>2681</v>
      </c>
      <c r="AP629" s="522"/>
      <c r="AQ629" s="634"/>
      <c r="AR629" s="606"/>
      <c r="AS629" s="394"/>
      <c r="AT629" s="393"/>
      <c r="AU629" s="395"/>
      <c r="AV629" s="278"/>
      <c r="AW629" s="278"/>
      <c r="AX629" s="278"/>
      <c r="AY629" s="278"/>
      <c r="AZ629" s="278"/>
      <c r="BA629" s="278"/>
      <c r="BB629" s="278"/>
      <c r="BC629" s="278"/>
      <c r="BD629" s="278"/>
    </row>
    <row r="630" spans="1:56" ht="42.75">
      <c r="A630" s="937"/>
      <c r="B630" s="938"/>
      <c r="C630" s="938"/>
      <c r="D630" s="938"/>
      <c r="E630" s="938"/>
      <c r="F630" s="938"/>
      <c r="G630" s="938"/>
      <c r="H630" s="938"/>
      <c r="I630" s="412" t="s">
        <v>465</v>
      </c>
      <c r="J630" s="522"/>
      <c r="K630" s="522" t="s">
        <v>2681</v>
      </c>
      <c r="L630" s="412"/>
      <c r="M630" s="412"/>
      <c r="N630" s="412"/>
      <c r="O630" s="412" t="s">
        <v>465</v>
      </c>
      <c r="P630" s="522"/>
      <c r="Q630" s="522" t="s">
        <v>2681</v>
      </c>
      <c r="R630" s="412"/>
      <c r="S630" s="412"/>
      <c r="T630" s="412"/>
      <c r="U630" s="412" t="s">
        <v>465</v>
      </c>
      <c r="V630" s="522"/>
      <c r="W630" s="522" t="s">
        <v>2681</v>
      </c>
      <c r="X630" s="412"/>
      <c r="Y630" s="412"/>
      <c r="Z630" s="412"/>
      <c r="AA630" s="412" t="s">
        <v>465</v>
      </c>
      <c r="AB630" s="522"/>
      <c r="AC630" s="522" t="s">
        <v>2681</v>
      </c>
      <c r="AD630" s="412"/>
      <c r="AE630" s="412"/>
      <c r="AF630" s="412"/>
      <c r="AG630" s="412" t="s">
        <v>465</v>
      </c>
      <c r="AH630" s="522"/>
      <c r="AI630" s="522" t="s">
        <v>2681</v>
      </c>
      <c r="AJ630" s="412"/>
      <c r="AK630" s="412"/>
      <c r="AL630" s="412"/>
      <c r="AM630" s="412" t="s">
        <v>465</v>
      </c>
      <c r="AN630" s="522"/>
      <c r="AO630" s="522" t="s">
        <v>2681</v>
      </c>
      <c r="AP630" s="522"/>
      <c r="AQ630" s="634"/>
      <c r="AR630" s="606"/>
      <c r="AS630" s="394"/>
      <c r="AT630" s="393"/>
      <c r="AU630" s="395"/>
      <c r="AV630" s="278"/>
      <c r="AW630" s="278"/>
      <c r="AX630" s="278"/>
      <c r="AY630" s="278"/>
      <c r="AZ630" s="278"/>
      <c r="BA630" s="278"/>
      <c r="BB630" s="278"/>
      <c r="BC630" s="278"/>
      <c r="BD630" s="278"/>
    </row>
    <row r="631" spans="1:56" ht="28.5">
      <c r="A631" s="937"/>
      <c r="B631" s="938"/>
      <c r="C631" s="938"/>
      <c r="D631" s="938"/>
      <c r="E631" s="938"/>
      <c r="F631" s="938"/>
      <c r="G631" s="938"/>
      <c r="H631" s="938"/>
      <c r="I631" s="412" t="s">
        <v>112</v>
      </c>
      <c r="J631" s="522"/>
      <c r="K631" s="522" t="s">
        <v>32</v>
      </c>
      <c r="L631" s="412"/>
      <c r="M631" s="412"/>
      <c r="N631" s="412"/>
      <c r="O631" s="412" t="s">
        <v>112</v>
      </c>
      <c r="P631" s="522"/>
      <c r="Q631" s="522" t="s">
        <v>32</v>
      </c>
      <c r="R631" s="412"/>
      <c r="S631" s="412"/>
      <c r="T631" s="412"/>
      <c r="U631" s="412" t="s">
        <v>112</v>
      </c>
      <c r="V631" s="522"/>
      <c r="W631" s="522" t="s">
        <v>32</v>
      </c>
      <c r="X631" s="412"/>
      <c r="Y631" s="412"/>
      <c r="Z631" s="412"/>
      <c r="AA631" s="412" t="s">
        <v>112</v>
      </c>
      <c r="AB631" s="522"/>
      <c r="AC631" s="522" t="s">
        <v>32</v>
      </c>
      <c r="AD631" s="412"/>
      <c r="AE631" s="412"/>
      <c r="AF631" s="412"/>
      <c r="AG631" s="412" t="s">
        <v>112</v>
      </c>
      <c r="AH631" s="522"/>
      <c r="AI631" s="522" t="s">
        <v>32</v>
      </c>
      <c r="AJ631" s="412"/>
      <c r="AK631" s="412"/>
      <c r="AL631" s="412"/>
      <c r="AM631" s="412" t="s">
        <v>112</v>
      </c>
      <c r="AN631" s="522"/>
      <c r="AO631" s="522" t="s">
        <v>32</v>
      </c>
      <c r="AP631" s="522"/>
      <c r="AQ631" s="634"/>
      <c r="AR631" s="606"/>
      <c r="AS631" s="394"/>
      <c r="AT631" s="393"/>
      <c r="AU631" s="395"/>
      <c r="AV631" s="278"/>
      <c r="AW631" s="278"/>
      <c r="AX631" s="278"/>
      <c r="AY631" s="278"/>
      <c r="AZ631" s="278"/>
      <c r="BA631" s="278"/>
      <c r="BB631" s="278"/>
      <c r="BC631" s="278"/>
      <c r="BD631" s="278"/>
    </row>
    <row r="632" spans="1:56" ht="42.75">
      <c r="A632" s="937"/>
      <c r="B632" s="938"/>
      <c r="C632" s="938"/>
      <c r="D632" s="938"/>
      <c r="E632" s="938"/>
      <c r="F632" s="938"/>
      <c r="G632" s="938"/>
      <c r="H632" s="938"/>
      <c r="I632" s="412" t="s">
        <v>466</v>
      </c>
      <c r="J632" s="522"/>
      <c r="K632" s="522" t="s">
        <v>32</v>
      </c>
      <c r="L632" s="412"/>
      <c r="M632" s="412"/>
      <c r="N632" s="412"/>
      <c r="O632" s="412" t="s">
        <v>466</v>
      </c>
      <c r="P632" s="522"/>
      <c r="Q632" s="522" t="s">
        <v>32</v>
      </c>
      <c r="R632" s="412"/>
      <c r="S632" s="412"/>
      <c r="T632" s="412"/>
      <c r="U632" s="412" t="s">
        <v>466</v>
      </c>
      <c r="V632" s="522"/>
      <c r="W632" s="522" t="s">
        <v>32</v>
      </c>
      <c r="X632" s="412"/>
      <c r="Y632" s="412"/>
      <c r="Z632" s="412"/>
      <c r="AA632" s="412" t="s">
        <v>466</v>
      </c>
      <c r="AB632" s="522"/>
      <c r="AC632" s="522" t="s">
        <v>32</v>
      </c>
      <c r="AD632" s="412"/>
      <c r="AE632" s="412"/>
      <c r="AF632" s="412"/>
      <c r="AG632" s="412" t="s">
        <v>466</v>
      </c>
      <c r="AH632" s="522"/>
      <c r="AI632" s="522" t="s">
        <v>32</v>
      </c>
      <c r="AJ632" s="412"/>
      <c r="AK632" s="412"/>
      <c r="AL632" s="412"/>
      <c r="AM632" s="412" t="s">
        <v>466</v>
      </c>
      <c r="AN632" s="522"/>
      <c r="AO632" s="522" t="s">
        <v>32</v>
      </c>
      <c r="AP632" s="522"/>
      <c r="AQ632" s="634"/>
      <c r="AR632" s="606"/>
      <c r="AS632" s="394"/>
      <c r="AT632" s="393"/>
      <c r="AU632" s="395"/>
      <c r="AV632" s="278"/>
      <c r="AW632" s="278"/>
      <c r="AX632" s="278"/>
      <c r="AY632" s="278"/>
      <c r="AZ632" s="278"/>
      <c r="BA632" s="278"/>
      <c r="BB632" s="278"/>
      <c r="BC632" s="278"/>
      <c r="BD632" s="278"/>
    </row>
    <row r="633" spans="1:56" ht="42.75">
      <c r="A633" s="937"/>
      <c r="B633" s="938"/>
      <c r="C633" s="938"/>
      <c r="D633" s="938"/>
      <c r="E633" s="938"/>
      <c r="F633" s="938"/>
      <c r="G633" s="938"/>
      <c r="H633" s="938"/>
      <c r="I633" s="412" t="s">
        <v>467</v>
      </c>
      <c r="J633" s="522"/>
      <c r="K633" s="522" t="s">
        <v>32</v>
      </c>
      <c r="L633" s="412"/>
      <c r="M633" s="412"/>
      <c r="N633" s="412"/>
      <c r="O633" s="412" t="s">
        <v>467</v>
      </c>
      <c r="P633" s="522"/>
      <c r="Q633" s="522" t="s">
        <v>32</v>
      </c>
      <c r="R633" s="412"/>
      <c r="S633" s="412"/>
      <c r="T633" s="412"/>
      <c r="U633" s="412" t="s">
        <v>467</v>
      </c>
      <c r="V633" s="522"/>
      <c r="W633" s="522" t="s">
        <v>32</v>
      </c>
      <c r="X633" s="412"/>
      <c r="Y633" s="412"/>
      <c r="Z633" s="412"/>
      <c r="AA633" s="412" t="s">
        <v>467</v>
      </c>
      <c r="AB633" s="522"/>
      <c r="AC633" s="522" t="s">
        <v>32</v>
      </c>
      <c r="AD633" s="412"/>
      <c r="AE633" s="412"/>
      <c r="AF633" s="412"/>
      <c r="AG633" s="412" t="s">
        <v>467</v>
      </c>
      <c r="AH633" s="522"/>
      <c r="AI633" s="522" t="s">
        <v>32</v>
      </c>
      <c r="AJ633" s="412"/>
      <c r="AK633" s="412"/>
      <c r="AL633" s="412"/>
      <c r="AM633" s="412" t="s">
        <v>467</v>
      </c>
      <c r="AN633" s="522"/>
      <c r="AO633" s="522" t="s">
        <v>32</v>
      </c>
      <c r="AP633" s="522"/>
      <c r="AQ633" s="634"/>
      <c r="AR633" s="606"/>
      <c r="AS633" s="394"/>
      <c r="AT633" s="393"/>
      <c r="AU633" s="395"/>
      <c r="AV633" s="278"/>
      <c r="AW633" s="278"/>
      <c r="AX633" s="278"/>
      <c r="AY633" s="278"/>
      <c r="AZ633" s="278"/>
      <c r="BA633" s="278"/>
      <c r="BB633" s="278"/>
      <c r="BC633" s="278"/>
      <c r="BD633" s="278"/>
    </row>
    <row r="634" spans="1:56" ht="42.75">
      <c r="A634" s="937"/>
      <c r="B634" s="938"/>
      <c r="C634" s="938"/>
      <c r="D634" s="938"/>
      <c r="E634" s="938"/>
      <c r="F634" s="938"/>
      <c r="G634" s="938"/>
      <c r="H634" s="938"/>
      <c r="I634" s="412" t="s">
        <v>468</v>
      </c>
      <c r="J634" s="522"/>
      <c r="K634" s="522" t="s">
        <v>118</v>
      </c>
      <c r="L634" s="412"/>
      <c r="M634" s="412"/>
      <c r="N634" s="412"/>
      <c r="O634" s="412" t="s">
        <v>468</v>
      </c>
      <c r="P634" s="522"/>
      <c r="Q634" s="522" t="s">
        <v>118</v>
      </c>
      <c r="R634" s="412"/>
      <c r="S634" s="412"/>
      <c r="T634" s="412"/>
      <c r="U634" s="412" t="s">
        <v>468</v>
      </c>
      <c r="V634" s="522"/>
      <c r="W634" s="522" t="s">
        <v>118</v>
      </c>
      <c r="X634" s="412"/>
      <c r="Y634" s="412"/>
      <c r="Z634" s="412"/>
      <c r="AA634" s="412" t="s">
        <v>468</v>
      </c>
      <c r="AB634" s="522"/>
      <c r="AC634" s="522" t="s">
        <v>118</v>
      </c>
      <c r="AD634" s="412"/>
      <c r="AE634" s="412"/>
      <c r="AF634" s="412"/>
      <c r="AG634" s="412" t="s">
        <v>468</v>
      </c>
      <c r="AH634" s="522"/>
      <c r="AI634" s="522" t="s">
        <v>118</v>
      </c>
      <c r="AJ634" s="412"/>
      <c r="AK634" s="412"/>
      <c r="AL634" s="412"/>
      <c r="AM634" s="412" t="s">
        <v>468</v>
      </c>
      <c r="AN634" s="522"/>
      <c r="AO634" s="522" t="s">
        <v>118</v>
      </c>
      <c r="AP634" s="522"/>
      <c r="AQ634" s="634"/>
      <c r="AR634" s="606"/>
      <c r="AS634" s="394"/>
      <c r="AT634" s="393"/>
      <c r="AU634" s="395"/>
      <c r="AV634" s="278"/>
      <c r="AW634" s="278"/>
      <c r="AX634" s="278"/>
      <c r="AY634" s="278"/>
      <c r="AZ634" s="278"/>
      <c r="BA634" s="278"/>
      <c r="BB634" s="278"/>
      <c r="BC634" s="278"/>
      <c r="BD634" s="278"/>
    </row>
    <row r="635" spans="1:56" ht="42.75">
      <c r="A635" s="937"/>
      <c r="B635" s="938"/>
      <c r="C635" s="938"/>
      <c r="D635" s="938"/>
      <c r="E635" s="938"/>
      <c r="F635" s="938"/>
      <c r="G635" s="938"/>
      <c r="H635" s="938"/>
      <c r="I635" s="412" t="s">
        <v>469</v>
      </c>
      <c r="J635" s="522"/>
      <c r="K635" s="522" t="s">
        <v>2681</v>
      </c>
      <c r="L635" s="412"/>
      <c r="M635" s="412"/>
      <c r="N635" s="412"/>
      <c r="O635" s="412" t="s">
        <v>469</v>
      </c>
      <c r="P635" s="522"/>
      <c r="Q635" s="522" t="s">
        <v>2681</v>
      </c>
      <c r="R635" s="412"/>
      <c r="S635" s="412"/>
      <c r="T635" s="412"/>
      <c r="U635" s="412" t="s">
        <v>469</v>
      </c>
      <c r="V635" s="522"/>
      <c r="W635" s="522" t="s">
        <v>2681</v>
      </c>
      <c r="X635" s="412"/>
      <c r="Y635" s="412"/>
      <c r="Z635" s="412"/>
      <c r="AA635" s="412" t="s">
        <v>469</v>
      </c>
      <c r="AB635" s="522"/>
      <c r="AC635" s="522" t="s">
        <v>2681</v>
      </c>
      <c r="AD635" s="412"/>
      <c r="AE635" s="412"/>
      <c r="AF635" s="412"/>
      <c r="AG635" s="412" t="s">
        <v>469</v>
      </c>
      <c r="AH635" s="522"/>
      <c r="AI635" s="522" t="s">
        <v>2681</v>
      </c>
      <c r="AJ635" s="412"/>
      <c r="AK635" s="412"/>
      <c r="AL635" s="412"/>
      <c r="AM635" s="412" t="s">
        <v>469</v>
      </c>
      <c r="AN635" s="522"/>
      <c r="AO635" s="522" t="s">
        <v>2681</v>
      </c>
      <c r="AP635" s="522"/>
      <c r="AQ635" s="634"/>
      <c r="AR635" s="606"/>
      <c r="AS635" s="394"/>
      <c r="AT635" s="393"/>
      <c r="AU635" s="395"/>
      <c r="AV635" s="278"/>
      <c r="AW635" s="278"/>
      <c r="AX635" s="278"/>
      <c r="AY635" s="278"/>
      <c r="AZ635" s="278"/>
      <c r="BA635" s="278"/>
      <c r="BB635" s="278"/>
      <c r="BC635" s="278"/>
      <c r="BD635" s="278"/>
    </row>
    <row r="636" spans="1:56" ht="71.25">
      <c r="A636" s="937"/>
      <c r="B636" s="938"/>
      <c r="C636" s="938"/>
      <c r="D636" s="938"/>
      <c r="E636" s="938"/>
      <c r="F636" s="938"/>
      <c r="G636" s="938"/>
      <c r="H636" s="938"/>
      <c r="I636" s="412" t="s">
        <v>470</v>
      </c>
      <c r="J636" s="522"/>
      <c r="K636" s="522" t="s">
        <v>118</v>
      </c>
      <c r="L636" s="412"/>
      <c r="M636" s="412"/>
      <c r="N636" s="412"/>
      <c r="O636" s="412" t="s">
        <v>470</v>
      </c>
      <c r="P636" s="522"/>
      <c r="Q636" s="522" t="s">
        <v>118</v>
      </c>
      <c r="R636" s="412"/>
      <c r="S636" s="412"/>
      <c r="T636" s="412"/>
      <c r="U636" s="412" t="s">
        <v>470</v>
      </c>
      <c r="V636" s="522"/>
      <c r="W636" s="522" t="s">
        <v>118</v>
      </c>
      <c r="X636" s="412"/>
      <c r="Y636" s="412"/>
      <c r="Z636" s="412"/>
      <c r="AA636" s="412" t="s">
        <v>470</v>
      </c>
      <c r="AB636" s="522"/>
      <c r="AC636" s="522" t="s">
        <v>118</v>
      </c>
      <c r="AD636" s="412"/>
      <c r="AE636" s="412"/>
      <c r="AF636" s="412"/>
      <c r="AG636" s="412" t="s">
        <v>470</v>
      </c>
      <c r="AH636" s="522"/>
      <c r="AI636" s="522" t="s">
        <v>118</v>
      </c>
      <c r="AJ636" s="412"/>
      <c r="AK636" s="412"/>
      <c r="AL636" s="412"/>
      <c r="AM636" s="412" t="s">
        <v>470</v>
      </c>
      <c r="AN636" s="522"/>
      <c r="AO636" s="522" t="s">
        <v>118</v>
      </c>
      <c r="AP636" s="522"/>
      <c r="AQ636" s="634"/>
      <c r="AR636" s="606"/>
      <c r="AS636" s="394"/>
      <c r="AT636" s="393"/>
      <c r="AU636" s="395"/>
      <c r="AV636" s="278"/>
      <c r="AW636" s="278"/>
      <c r="AX636" s="278"/>
      <c r="AY636" s="278"/>
      <c r="AZ636" s="278"/>
      <c r="BA636" s="278"/>
      <c r="BB636" s="278"/>
      <c r="BC636" s="278"/>
      <c r="BD636" s="278"/>
    </row>
    <row r="637" spans="1:56">
      <c r="A637" s="937"/>
      <c r="B637" s="938"/>
      <c r="C637" s="938"/>
      <c r="D637" s="938"/>
      <c r="E637" s="938"/>
      <c r="F637" s="938"/>
      <c r="G637" s="938"/>
      <c r="H637" s="938"/>
      <c r="I637" s="412" t="s">
        <v>471</v>
      </c>
      <c r="J637" s="522"/>
      <c r="K637" s="522"/>
      <c r="L637" s="413"/>
      <c r="M637" s="413"/>
      <c r="N637" s="413"/>
      <c r="O637" s="412" t="s">
        <v>471</v>
      </c>
      <c r="P637" s="522"/>
      <c r="Q637" s="522"/>
      <c r="R637" s="413"/>
      <c r="S637" s="413"/>
      <c r="T637" s="413"/>
      <c r="U637" s="412" t="s">
        <v>471</v>
      </c>
      <c r="V637" s="522"/>
      <c r="W637" s="522"/>
      <c r="X637" s="413"/>
      <c r="Y637" s="413"/>
      <c r="Z637" s="413"/>
      <c r="AA637" s="412" t="s">
        <v>471</v>
      </c>
      <c r="AB637" s="522"/>
      <c r="AC637" s="522"/>
      <c r="AD637" s="413"/>
      <c r="AE637" s="413"/>
      <c r="AF637" s="413"/>
      <c r="AG637" s="412" t="s">
        <v>471</v>
      </c>
      <c r="AH637" s="522"/>
      <c r="AI637" s="522"/>
      <c r="AJ637" s="413"/>
      <c r="AK637" s="413"/>
      <c r="AL637" s="413"/>
      <c r="AM637" s="412" t="s">
        <v>471</v>
      </c>
      <c r="AN637" s="522"/>
      <c r="AO637" s="522"/>
      <c r="AP637" s="522"/>
      <c r="AQ637" s="634"/>
      <c r="AR637" s="606"/>
      <c r="AS637" s="394"/>
      <c r="AT637" s="393"/>
      <c r="AU637" s="395"/>
      <c r="AV637" s="278"/>
      <c r="AW637" s="278"/>
      <c r="AX637" s="278"/>
      <c r="AY637" s="278"/>
      <c r="AZ637" s="278"/>
      <c r="BA637" s="278"/>
      <c r="BB637" s="278"/>
      <c r="BC637" s="278"/>
      <c r="BD637" s="278"/>
    </row>
    <row r="638" spans="1:56" ht="27">
      <c r="A638" s="636" t="s">
        <v>895</v>
      </c>
      <c r="B638" s="143"/>
      <c r="C638" s="144"/>
      <c r="D638" s="145"/>
      <c r="E638" s="146"/>
      <c r="F638" s="147"/>
      <c r="G638" s="145"/>
      <c r="H638" s="145"/>
      <c r="I638" s="145"/>
      <c r="J638" s="148"/>
      <c r="K638" s="147"/>
      <c r="L638" s="280"/>
      <c r="M638" s="145"/>
      <c r="N638" s="145"/>
      <c r="O638" s="145"/>
      <c r="P638" s="290"/>
      <c r="Q638" s="147"/>
      <c r="R638" s="280"/>
      <c r="S638" s="145"/>
      <c r="T638" s="145"/>
      <c r="U638" s="145"/>
      <c r="V638" s="290"/>
      <c r="W638" s="147"/>
      <c r="X638" s="280"/>
      <c r="Y638" s="145"/>
      <c r="Z638" s="145"/>
      <c r="AA638" s="145"/>
      <c r="AB638" s="290"/>
      <c r="AC638" s="147"/>
      <c r="AD638" s="149"/>
      <c r="AE638" s="145"/>
      <c r="AF638" s="145"/>
      <c r="AG638" s="145"/>
      <c r="AH638" s="290"/>
      <c r="AI638" s="145"/>
      <c r="AJ638" s="149"/>
      <c r="AK638" s="145"/>
      <c r="AL638" s="145"/>
      <c r="AM638" s="145"/>
      <c r="AN638" s="290"/>
      <c r="AO638" s="145"/>
      <c r="AP638" s="149"/>
      <c r="AQ638" s="631"/>
      <c r="AS638" s="278"/>
      <c r="AT638" s="278"/>
      <c r="AU638" s="278"/>
      <c r="AV638" s="278"/>
      <c r="AW638" s="278"/>
      <c r="AX638" s="278"/>
      <c r="AY638" s="278"/>
    </row>
    <row r="639" spans="1:56" ht="60">
      <c r="A639" s="637">
        <v>1</v>
      </c>
      <c r="B639" s="524">
        <v>805871</v>
      </c>
      <c r="C639" s="699" t="s">
        <v>896</v>
      </c>
      <c r="D639" s="526" t="s">
        <v>897</v>
      </c>
      <c r="E639" s="527">
        <v>1.18</v>
      </c>
      <c r="F639" s="528">
        <v>7080</v>
      </c>
      <c r="G639" s="523" t="s">
        <v>898</v>
      </c>
      <c r="H639" s="523"/>
      <c r="I639" s="523"/>
      <c r="J639" s="150"/>
      <c r="K639" s="151"/>
      <c r="L639" s="281"/>
      <c r="M639" s="523"/>
      <c r="N639" s="523"/>
      <c r="O639" s="523" t="s">
        <v>482</v>
      </c>
      <c r="P639" s="291"/>
      <c r="Q639" s="151"/>
      <c r="R639" s="281"/>
      <c r="S639" s="523"/>
      <c r="T639" s="523"/>
      <c r="U639" s="523" t="s">
        <v>482</v>
      </c>
      <c r="V639" s="291"/>
      <c r="W639" s="151"/>
      <c r="X639" s="281"/>
      <c r="Y639" s="523"/>
      <c r="Z639" s="523"/>
      <c r="AA639" s="523" t="s">
        <v>482</v>
      </c>
      <c r="AB639" s="291"/>
      <c r="AC639" s="151"/>
      <c r="AD639" s="529"/>
      <c r="AE639" s="523"/>
      <c r="AF639" s="523"/>
      <c r="AG639" s="523" t="s">
        <v>482</v>
      </c>
      <c r="AH639" s="291"/>
      <c r="AI639" s="523"/>
      <c r="AJ639" s="529"/>
      <c r="AK639" s="523"/>
      <c r="AL639" s="523"/>
      <c r="AM639" s="523" t="s">
        <v>482</v>
      </c>
      <c r="AN639" s="291"/>
      <c r="AO639" s="523"/>
      <c r="AP639" s="529"/>
      <c r="AQ639" s="631"/>
      <c r="AS639" s="278"/>
      <c r="AT639" s="278"/>
      <c r="AU639" s="278"/>
      <c r="AV639" s="278"/>
      <c r="AW639" s="278"/>
      <c r="AX639" s="278"/>
      <c r="AY639" s="278"/>
    </row>
    <row r="640" spans="1:56" ht="45">
      <c r="A640" s="637">
        <v>2</v>
      </c>
      <c r="B640" s="524">
        <v>805809</v>
      </c>
      <c r="C640" s="699" t="s">
        <v>899</v>
      </c>
      <c r="D640" s="526" t="s">
        <v>900</v>
      </c>
      <c r="E640" s="527">
        <v>10.023999999999999</v>
      </c>
      <c r="F640" s="528">
        <v>54931.520000000004</v>
      </c>
      <c r="G640" s="523"/>
      <c r="H640" s="523"/>
      <c r="I640" s="523" t="s">
        <v>482</v>
      </c>
      <c r="J640" s="150"/>
      <c r="K640" s="151"/>
      <c r="L640" s="281"/>
      <c r="M640" s="523"/>
      <c r="N640" s="523"/>
      <c r="O640" s="523" t="s">
        <v>482</v>
      </c>
      <c r="P640" s="291"/>
      <c r="Q640" s="151"/>
      <c r="R640" s="281"/>
      <c r="S640" s="523"/>
      <c r="T640" s="523"/>
      <c r="U640" s="523" t="s">
        <v>482</v>
      </c>
      <c r="V640" s="291"/>
      <c r="W640" s="151"/>
      <c r="X640" s="281"/>
      <c r="Y640" s="523"/>
      <c r="Z640" s="523"/>
      <c r="AA640" s="523" t="s">
        <v>482</v>
      </c>
      <c r="AB640" s="291"/>
      <c r="AC640" s="151"/>
      <c r="AD640" s="529"/>
      <c r="AE640" s="523"/>
      <c r="AF640" s="523"/>
      <c r="AG640" s="523"/>
      <c r="AH640" s="291"/>
      <c r="AI640" s="523"/>
      <c r="AJ640" s="529"/>
      <c r="AK640" s="523"/>
      <c r="AL640" s="523"/>
      <c r="AM640" s="523" t="s">
        <v>482</v>
      </c>
      <c r="AN640" s="291"/>
      <c r="AO640" s="523"/>
      <c r="AP640" s="529"/>
      <c r="AQ640" s="631"/>
      <c r="AS640" s="278"/>
      <c r="AT640" s="278"/>
      <c r="AU640" s="278"/>
      <c r="AV640" s="278"/>
      <c r="AW640" s="278"/>
      <c r="AX640" s="278"/>
      <c r="AY640" s="278"/>
    </row>
    <row r="641" spans="1:51">
      <c r="A641" s="637"/>
      <c r="B641" s="152"/>
      <c r="C641" s="701"/>
      <c r="D641" s="153"/>
      <c r="E641" s="154"/>
      <c r="F641" s="155"/>
      <c r="G641" s="154"/>
      <c r="H641" s="154"/>
      <c r="I641" s="154"/>
      <c r="J641" s="156"/>
      <c r="K641" s="155"/>
      <c r="L641" s="282"/>
      <c r="M641" s="154"/>
      <c r="N641" s="154"/>
      <c r="O641" s="154"/>
      <c r="P641" s="292"/>
      <c r="Q641" s="155"/>
      <c r="R641" s="282"/>
      <c r="S641" s="154"/>
      <c r="T641" s="154"/>
      <c r="U641" s="154"/>
      <c r="V641" s="292"/>
      <c r="W641" s="155"/>
      <c r="X641" s="282"/>
      <c r="Y641" s="154"/>
      <c r="Z641" s="154"/>
      <c r="AA641" s="154"/>
      <c r="AB641" s="292"/>
      <c r="AC641" s="155"/>
      <c r="AD641" s="157"/>
      <c r="AE641" s="154"/>
      <c r="AF641" s="154"/>
      <c r="AG641" s="154"/>
      <c r="AH641" s="292"/>
      <c r="AI641" s="154"/>
      <c r="AJ641" s="157"/>
      <c r="AK641" s="154"/>
      <c r="AL641" s="154"/>
      <c r="AM641" s="154"/>
      <c r="AN641" s="292"/>
      <c r="AO641" s="154"/>
      <c r="AP641" s="157"/>
      <c r="AQ641" s="631"/>
      <c r="AS641" s="278"/>
      <c r="AT641" s="278"/>
      <c r="AU641" s="278"/>
      <c r="AV641" s="278"/>
      <c r="AW641" s="278"/>
      <c r="AX641" s="278"/>
      <c r="AY641" s="278"/>
    </row>
    <row r="642" spans="1:51" ht="30">
      <c r="A642" s="637">
        <v>4</v>
      </c>
      <c r="B642" s="524" t="s">
        <v>901</v>
      </c>
      <c r="C642" s="699" t="s">
        <v>902</v>
      </c>
      <c r="D642" s="526" t="s">
        <v>903</v>
      </c>
      <c r="E642" s="527">
        <v>2.9</v>
      </c>
      <c r="F642" s="528">
        <v>18966</v>
      </c>
      <c r="G642" s="523"/>
      <c r="H642" s="523"/>
      <c r="I642" s="523" t="s">
        <v>482</v>
      </c>
      <c r="J642" s="150"/>
      <c r="K642" s="151"/>
      <c r="L642" s="281"/>
      <c r="M642" s="523"/>
      <c r="N642" s="523"/>
      <c r="O642" s="523" t="s">
        <v>482</v>
      </c>
      <c r="P642" s="291"/>
      <c r="Q642" s="151"/>
      <c r="R642" s="281"/>
      <c r="S642" s="523"/>
      <c r="T642" s="523"/>
      <c r="U642" s="523" t="s">
        <v>482</v>
      </c>
      <c r="V642" s="291"/>
      <c r="W642" s="151"/>
      <c r="X642" s="281"/>
      <c r="Y642" s="523"/>
      <c r="Z642" s="523"/>
      <c r="AA642" s="523" t="s">
        <v>482</v>
      </c>
      <c r="AB642" s="291"/>
      <c r="AC642" s="151"/>
      <c r="AD642" s="529"/>
      <c r="AE642" s="523"/>
      <c r="AF642" s="523"/>
      <c r="AG642" s="523"/>
      <c r="AH642" s="291"/>
      <c r="AI642" s="523"/>
      <c r="AJ642" s="529"/>
      <c r="AK642" s="523"/>
      <c r="AL642" s="523"/>
      <c r="AM642" s="523" t="s">
        <v>482</v>
      </c>
      <c r="AN642" s="291"/>
      <c r="AO642" s="523"/>
      <c r="AP642" s="529"/>
      <c r="AQ642" s="631"/>
      <c r="AS642" s="278"/>
      <c r="AT642" s="278"/>
      <c r="AU642" s="278"/>
      <c r="AV642" s="278"/>
      <c r="AW642" s="278"/>
      <c r="AX642" s="278"/>
      <c r="AY642" s="278"/>
    </row>
    <row r="643" spans="1:51">
      <c r="A643" s="637"/>
      <c r="B643" s="152"/>
      <c r="C643" s="701"/>
      <c r="D643" s="153"/>
      <c r="E643" s="154"/>
      <c r="F643" s="155"/>
      <c r="G643" s="154"/>
      <c r="H643" s="154"/>
      <c r="I643" s="154"/>
      <c r="J643" s="156"/>
      <c r="K643" s="155"/>
      <c r="L643" s="282"/>
      <c r="M643" s="154"/>
      <c r="N643" s="154"/>
      <c r="O643" s="154"/>
      <c r="P643" s="292"/>
      <c r="Q643" s="155"/>
      <c r="R643" s="282"/>
      <c r="S643" s="154"/>
      <c r="T643" s="154"/>
      <c r="U643" s="154"/>
      <c r="V643" s="292"/>
      <c r="W643" s="155"/>
      <c r="X643" s="282"/>
      <c r="Y643" s="154"/>
      <c r="Z643" s="154"/>
      <c r="AA643" s="154"/>
      <c r="AB643" s="292"/>
      <c r="AC643" s="155"/>
      <c r="AD643" s="157"/>
      <c r="AE643" s="154"/>
      <c r="AF643" s="154"/>
      <c r="AG643" s="154"/>
      <c r="AH643" s="292"/>
      <c r="AI643" s="154"/>
      <c r="AJ643" s="157"/>
      <c r="AK643" s="154"/>
      <c r="AL643" s="154"/>
      <c r="AM643" s="154"/>
      <c r="AN643" s="292"/>
      <c r="AO643" s="154"/>
      <c r="AP643" s="157"/>
      <c r="AQ643" s="631"/>
      <c r="AS643" s="278"/>
      <c r="AT643" s="278"/>
      <c r="AU643" s="278"/>
      <c r="AV643" s="278"/>
      <c r="AW643" s="278"/>
      <c r="AX643" s="278"/>
      <c r="AY643" s="278"/>
    </row>
    <row r="644" spans="1:51" ht="30">
      <c r="A644" s="637">
        <v>6</v>
      </c>
      <c r="B644" s="524" t="s">
        <v>559</v>
      </c>
      <c r="C644" s="699" t="s">
        <v>904</v>
      </c>
      <c r="D644" s="526" t="s">
        <v>561</v>
      </c>
      <c r="E644" s="527">
        <v>34.43</v>
      </c>
      <c r="F644" s="528">
        <v>227238</v>
      </c>
      <c r="G644" s="523"/>
      <c r="H644" s="523"/>
      <c r="I644" s="523"/>
      <c r="J644" s="150"/>
      <c r="K644" s="151"/>
      <c r="L644" s="281"/>
      <c r="M644" s="523"/>
      <c r="N644" s="523"/>
      <c r="O644" s="154"/>
      <c r="P644" s="292"/>
      <c r="Q644" s="151"/>
      <c r="R644" s="282"/>
      <c r="S644" s="523"/>
      <c r="T644" s="523"/>
      <c r="U644" s="154"/>
      <c r="V644" s="292"/>
      <c r="W644" s="151"/>
      <c r="X644" s="282"/>
      <c r="Y644" s="523"/>
      <c r="Z644" s="523"/>
      <c r="AA644" s="154"/>
      <c r="AB644" s="292"/>
      <c r="AC644" s="151"/>
      <c r="AD644" s="157"/>
      <c r="AE644" s="523"/>
      <c r="AF644" s="523"/>
      <c r="AG644" s="523"/>
      <c r="AH644" s="291"/>
      <c r="AI644" s="523"/>
      <c r="AJ644" s="529"/>
      <c r="AK644" s="523"/>
      <c r="AL644" s="523"/>
      <c r="AM644" s="523"/>
      <c r="AN644" s="291"/>
      <c r="AO644" s="523"/>
      <c r="AP644" s="529"/>
      <c r="AQ644" s="631"/>
      <c r="AS644" s="278"/>
      <c r="AT644" s="278"/>
      <c r="AU644" s="278"/>
      <c r="AV644" s="278"/>
      <c r="AW644" s="278"/>
      <c r="AX644" s="278"/>
      <c r="AY644" s="278"/>
    </row>
    <row r="645" spans="1:51">
      <c r="A645" s="918">
        <v>77</v>
      </c>
      <c r="B645" s="919" t="s">
        <v>905</v>
      </c>
      <c r="C645" s="920" t="s">
        <v>906</v>
      </c>
      <c r="D645" s="921" t="s">
        <v>907</v>
      </c>
      <c r="E645" s="922">
        <v>17</v>
      </c>
      <c r="F645" s="923">
        <v>102000</v>
      </c>
      <c r="G645" s="523"/>
      <c r="H645" s="523"/>
      <c r="I645" s="523"/>
      <c r="J645" s="150"/>
      <c r="K645" s="326"/>
      <c r="L645" s="281"/>
      <c r="M645" s="523"/>
      <c r="N645" s="523"/>
      <c r="O645" s="523" t="s">
        <v>482</v>
      </c>
      <c r="P645" s="293"/>
      <c r="Q645" s="158"/>
      <c r="R645" s="281"/>
      <c r="S645" s="523"/>
      <c r="T645" s="523"/>
      <c r="U645" s="523" t="s">
        <v>482</v>
      </c>
      <c r="V645" s="293"/>
      <c r="W645" s="151"/>
      <c r="X645" s="281"/>
      <c r="Y645" s="523"/>
      <c r="Z645" s="523"/>
      <c r="AA645" s="523" t="s">
        <v>482</v>
      </c>
      <c r="AB645" s="291"/>
      <c r="AC645" s="151"/>
      <c r="AD645" s="529"/>
      <c r="AE645" s="917"/>
      <c r="AF645" s="917"/>
      <c r="AG645" s="152"/>
      <c r="AH645" s="299"/>
      <c r="AI645" s="152"/>
      <c r="AJ645" s="159"/>
      <c r="AK645" s="523"/>
      <c r="AL645" s="523"/>
      <c r="AM645" s="523" t="s">
        <v>482</v>
      </c>
      <c r="AN645" s="291"/>
      <c r="AO645" s="523"/>
      <c r="AP645" s="529"/>
      <c r="AQ645" s="631"/>
      <c r="AS645" s="278"/>
      <c r="AT645" s="278"/>
      <c r="AU645" s="278"/>
      <c r="AV645" s="278"/>
      <c r="AW645" s="278"/>
      <c r="AX645" s="278"/>
      <c r="AY645" s="278"/>
    </row>
    <row r="646" spans="1:51">
      <c r="A646" s="918"/>
      <c r="B646" s="919"/>
      <c r="C646" s="920"/>
      <c r="D646" s="921"/>
      <c r="E646" s="922"/>
      <c r="F646" s="923"/>
      <c r="G646" s="523"/>
      <c r="H646" s="523"/>
      <c r="I646" s="523"/>
      <c r="J646" s="150"/>
      <c r="K646" s="326"/>
      <c r="L646" s="281"/>
      <c r="M646" s="523"/>
      <c r="N646" s="523"/>
      <c r="O646" s="523"/>
      <c r="P646" s="293"/>
      <c r="Q646" s="158"/>
      <c r="R646" s="281"/>
      <c r="S646" s="523"/>
      <c r="T646" s="523"/>
      <c r="U646" s="523"/>
      <c r="V646" s="293"/>
      <c r="W646" s="151"/>
      <c r="X646" s="281"/>
      <c r="Y646" s="523"/>
      <c r="Z646" s="523"/>
      <c r="AA646" s="523"/>
      <c r="AB646" s="291"/>
      <c r="AC646" s="151"/>
      <c r="AD646" s="529"/>
      <c r="AE646" s="917"/>
      <c r="AF646" s="917"/>
      <c r="AG646" s="152"/>
      <c r="AH646" s="299"/>
      <c r="AI646" s="152"/>
      <c r="AJ646" s="159"/>
      <c r="AK646" s="523"/>
      <c r="AL646" s="523"/>
      <c r="AM646" s="523"/>
      <c r="AN646" s="291"/>
      <c r="AO646" s="523"/>
      <c r="AP646" s="529"/>
      <c r="AQ646" s="631"/>
      <c r="AS646" s="278"/>
      <c r="AT646" s="278"/>
      <c r="AU646" s="278"/>
      <c r="AV646" s="278"/>
      <c r="AW646" s="278"/>
      <c r="AX646" s="278"/>
      <c r="AY646" s="278"/>
    </row>
    <row r="647" spans="1:51">
      <c r="A647" s="918">
        <v>78</v>
      </c>
      <c r="B647" s="919" t="s">
        <v>908</v>
      </c>
      <c r="C647" s="920" t="s">
        <v>909</v>
      </c>
      <c r="D647" s="921" t="s">
        <v>910</v>
      </c>
      <c r="E647" s="922">
        <v>19.420000000000002</v>
      </c>
      <c r="F647" s="923">
        <v>116520</v>
      </c>
      <c r="G647" s="523"/>
      <c r="H647" s="523"/>
      <c r="I647" s="523"/>
      <c r="J647" s="150"/>
      <c r="K647" s="326"/>
      <c r="L647" s="281"/>
      <c r="M647" s="523"/>
      <c r="N647" s="523"/>
      <c r="O647" s="523" t="s">
        <v>482</v>
      </c>
      <c r="P647" s="293"/>
      <c r="Q647" s="158"/>
      <c r="R647" s="281"/>
      <c r="S647" s="523"/>
      <c r="T647" s="523"/>
      <c r="U647" s="523" t="s">
        <v>482</v>
      </c>
      <c r="V647" s="293"/>
      <c r="W647" s="151"/>
      <c r="X647" s="281"/>
      <c r="Y647" s="523"/>
      <c r="Z647" s="523"/>
      <c r="AA647" s="917"/>
      <c r="AB647" s="291"/>
      <c r="AC647" s="153"/>
      <c r="AD647" s="924"/>
      <c r="AE647" s="523"/>
      <c r="AF647" s="523"/>
      <c r="AG647" s="523" t="s">
        <v>482</v>
      </c>
      <c r="AH647" s="291"/>
      <c r="AI647" s="523"/>
      <c r="AJ647" s="529"/>
      <c r="AK647" s="917"/>
      <c r="AL647" s="917"/>
      <c r="AM647" s="152"/>
      <c r="AN647" s="299"/>
      <c r="AO647" s="152"/>
      <c r="AP647" s="159"/>
      <c r="AQ647" s="631"/>
      <c r="AS647" s="278"/>
      <c r="AT647" s="278"/>
      <c r="AU647" s="278"/>
      <c r="AV647" s="278"/>
      <c r="AW647" s="278"/>
      <c r="AX647" s="278"/>
      <c r="AY647" s="278"/>
    </row>
    <row r="648" spans="1:51">
      <c r="A648" s="918"/>
      <c r="B648" s="919"/>
      <c r="C648" s="920"/>
      <c r="D648" s="921"/>
      <c r="E648" s="922"/>
      <c r="F648" s="923"/>
      <c r="G648" s="523"/>
      <c r="H648" s="523"/>
      <c r="I648" s="523"/>
      <c r="J648" s="150"/>
      <c r="K648" s="326"/>
      <c r="L648" s="281"/>
      <c r="M648" s="523"/>
      <c r="N648" s="523"/>
      <c r="O648" s="523"/>
      <c r="P648" s="293"/>
      <c r="Q648" s="158"/>
      <c r="R648" s="281"/>
      <c r="S648" s="523"/>
      <c r="T648" s="523"/>
      <c r="U648" s="523"/>
      <c r="V648" s="293"/>
      <c r="W648" s="151"/>
      <c r="X648" s="281"/>
      <c r="Y648" s="523"/>
      <c r="Z648" s="523"/>
      <c r="AA648" s="917"/>
      <c r="AB648" s="291"/>
      <c r="AC648" s="160"/>
      <c r="AD648" s="924"/>
      <c r="AE648" s="523"/>
      <c r="AF648" s="523"/>
      <c r="AG648" s="523"/>
      <c r="AH648" s="291"/>
      <c r="AI648" s="523"/>
      <c r="AJ648" s="529"/>
      <c r="AK648" s="917"/>
      <c r="AL648" s="917"/>
      <c r="AM648" s="152"/>
      <c r="AN648" s="299"/>
      <c r="AO648" s="152"/>
      <c r="AP648" s="159"/>
      <c r="AQ648" s="631"/>
      <c r="AS648" s="278"/>
      <c r="AT648" s="278"/>
      <c r="AU648" s="278"/>
      <c r="AV648" s="278"/>
      <c r="AW648" s="278"/>
      <c r="AX648" s="278"/>
      <c r="AY648" s="278"/>
    </row>
    <row r="649" spans="1:51">
      <c r="A649" s="918">
        <v>79</v>
      </c>
      <c r="B649" s="919" t="s">
        <v>911</v>
      </c>
      <c r="C649" s="920" t="s">
        <v>912</v>
      </c>
      <c r="D649" s="921" t="s">
        <v>913</v>
      </c>
      <c r="E649" s="922">
        <v>4.93</v>
      </c>
      <c r="F649" s="923">
        <v>29580</v>
      </c>
      <c r="G649" s="523"/>
      <c r="H649" s="523"/>
      <c r="I649" s="523"/>
      <c r="J649" s="150"/>
      <c r="K649" s="326"/>
      <c r="L649" s="281"/>
      <c r="M649" s="523"/>
      <c r="N649" s="523"/>
      <c r="O649" s="523" t="s">
        <v>482</v>
      </c>
      <c r="P649" s="293"/>
      <c r="Q649" s="158"/>
      <c r="R649" s="281"/>
      <c r="S649" s="523"/>
      <c r="T649" s="523"/>
      <c r="U649" s="523" t="s">
        <v>482</v>
      </c>
      <c r="V649" s="293"/>
      <c r="W649" s="151"/>
      <c r="X649" s="281"/>
      <c r="Y649" s="523"/>
      <c r="Z649" s="523"/>
      <c r="AA649" s="917"/>
      <c r="AB649" s="291"/>
      <c r="AC649" s="153"/>
      <c r="AD649" s="924"/>
      <c r="AE649" s="917"/>
      <c r="AF649" s="917"/>
      <c r="AG649" s="152"/>
      <c r="AH649" s="299"/>
      <c r="AI649" s="152"/>
      <c r="AJ649" s="159"/>
      <c r="AK649" s="523"/>
      <c r="AL649" s="523"/>
      <c r="AM649" s="523" t="s">
        <v>482</v>
      </c>
      <c r="AN649" s="291"/>
      <c r="AO649" s="523"/>
      <c r="AP649" s="529"/>
      <c r="AQ649" s="631"/>
      <c r="AS649" s="278"/>
      <c r="AT649" s="278"/>
      <c r="AU649" s="278"/>
      <c r="AV649" s="278"/>
      <c r="AW649" s="278"/>
      <c r="AX649" s="278"/>
      <c r="AY649" s="278"/>
    </row>
    <row r="650" spans="1:51">
      <c r="A650" s="918"/>
      <c r="B650" s="919"/>
      <c r="C650" s="920"/>
      <c r="D650" s="921"/>
      <c r="E650" s="922"/>
      <c r="F650" s="923"/>
      <c r="G650" s="523"/>
      <c r="H650" s="523"/>
      <c r="I650" s="523"/>
      <c r="J650" s="150"/>
      <c r="K650" s="326"/>
      <c r="L650" s="281"/>
      <c r="M650" s="523"/>
      <c r="N650" s="523"/>
      <c r="O650" s="523"/>
      <c r="P650" s="293"/>
      <c r="Q650" s="158"/>
      <c r="R650" s="281"/>
      <c r="S650" s="523"/>
      <c r="T650" s="523"/>
      <c r="U650" s="523"/>
      <c r="V650" s="293"/>
      <c r="W650" s="151"/>
      <c r="X650" s="281"/>
      <c r="Y650" s="523"/>
      <c r="Z650" s="523"/>
      <c r="AA650" s="917"/>
      <c r="AB650" s="291"/>
      <c r="AC650" s="160"/>
      <c r="AD650" s="924"/>
      <c r="AE650" s="917"/>
      <c r="AF650" s="917"/>
      <c r="AG650" s="152"/>
      <c r="AH650" s="299"/>
      <c r="AI650" s="152"/>
      <c r="AJ650" s="159"/>
      <c r="AK650" s="523"/>
      <c r="AL650" s="523"/>
      <c r="AM650" s="523"/>
      <c r="AN650" s="291"/>
      <c r="AO650" s="523"/>
      <c r="AP650" s="529"/>
      <c r="AQ650" s="631"/>
      <c r="AS650" s="278"/>
      <c r="AT650" s="278"/>
      <c r="AU650" s="278"/>
      <c r="AV650" s="278"/>
      <c r="AW650" s="278"/>
      <c r="AX650" s="278"/>
      <c r="AY650" s="278"/>
    </row>
    <row r="651" spans="1:51">
      <c r="A651" s="918">
        <v>80</v>
      </c>
      <c r="B651" s="919" t="s">
        <v>914</v>
      </c>
      <c r="C651" s="920" t="s">
        <v>915</v>
      </c>
      <c r="D651" s="921" t="s">
        <v>916</v>
      </c>
      <c r="E651" s="922">
        <v>13.7</v>
      </c>
      <c r="F651" s="923">
        <v>90146</v>
      </c>
      <c r="G651" s="523"/>
      <c r="H651" s="523"/>
      <c r="I651" s="523"/>
      <c r="J651" s="150"/>
      <c r="K651" s="326"/>
      <c r="L651" s="281"/>
      <c r="M651" s="523"/>
      <c r="N651" s="523"/>
      <c r="O651" s="523" t="s">
        <v>482</v>
      </c>
      <c r="P651" s="293"/>
      <c r="Q651" s="158"/>
      <c r="R651" s="281"/>
      <c r="S651" s="523"/>
      <c r="T651" s="523"/>
      <c r="U651" s="523" t="s">
        <v>482</v>
      </c>
      <c r="V651" s="293"/>
      <c r="W651" s="151"/>
      <c r="X651" s="281"/>
      <c r="Y651" s="917"/>
      <c r="Z651" s="917"/>
      <c r="AA651" s="917"/>
      <c r="AB651" s="291"/>
      <c r="AC651" s="153"/>
      <c r="AD651" s="924"/>
      <c r="AE651" s="523"/>
      <c r="AF651" s="523"/>
      <c r="AG651" s="523" t="s">
        <v>482</v>
      </c>
      <c r="AH651" s="291"/>
      <c r="AI651" s="523"/>
      <c r="AJ651" s="529"/>
      <c r="AK651" s="523"/>
      <c r="AL651" s="523"/>
      <c r="AM651" s="523" t="s">
        <v>482</v>
      </c>
      <c r="AN651" s="291"/>
      <c r="AO651" s="523"/>
      <c r="AP651" s="529"/>
      <c r="AQ651" s="631"/>
      <c r="AS651" s="278"/>
      <c r="AT651" s="278"/>
      <c r="AU651" s="278"/>
      <c r="AV651" s="278"/>
      <c r="AW651" s="278"/>
      <c r="AX651" s="278"/>
      <c r="AY651" s="278"/>
    </row>
    <row r="652" spans="1:51">
      <c r="A652" s="918"/>
      <c r="B652" s="919"/>
      <c r="C652" s="920"/>
      <c r="D652" s="921"/>
      <c r="E652" s="922"/>
      <c r="F652" s="923"/>
      <c r="G652" s="523"/>
      <c r="H652" s="523"/>
      <c r="I652" s="523"/>
      <c r="J652" s="150"/>
      <c r="K652" s="326"/>
      <c r="L652" s="281"/>
      <c r="M652" s="523"/>
      <c r="N652" s="523"/>
      <c r="O652" s="523"/>
      <c r="P652" s="293"/>
      <c r="Q652" s="158"/>
      <c r="R652" s="281"/>
      <c r="S652" s="523"/>
      <c r="T652" s="523"/>
      <c r="U652" s="523"/>
      <c r="V652" s="293"/>
      <c r="W652" s="151"/>
      <c r="X652" s="281"/>
      <c r="Y652" s="917"/>
      <c r="Z652" s="917"/>
      <c r="AA652" s="917"/>
      <c r="AB652" s="293"/>
      <c r="AC652" s="160"/>
      <c r="AD652" s="924"/>
      <c r="AE652" s="523"/>
      <c r="AF652" s="523"/>
      <c r="AG652" s="523"/>
      <c r="AH652" s="291"/>
      <c r="AI652" s="523"/>
      <c r="AJ652" s="529"/>
      <c r="AK652" s="523"/>
      <c r="AL652" s="523"/>
      <c r="AM652" s="523"/>
      <c r="AN652" s="291"/>
      <c r="AO652" s="523"/>
      <c r="AP652" s="529"/>
      <c r="AQ652" s="631"/>
      <c r="AS652" s="278"/>
      <c r="AT652" s="278"/>
      <c r="AU652" s="278"/>
      <c r="AV652" s="278"/>
      <c r="AW652" s="278"/>
      <c r="AX652" s="278"/>
      <c r="AY652" s="278"/>
    </row>
    <row r="653" spans="1:51" ht="30">
      <c r="A653" s="637">
        <v>11</v>
      </c>
      <c r="B653" s="524" t="s">
        <v>917</v>
      </c>
      <c r="C653" s="699" t="s">
        <v>918</v>
      </c>
      <c r="D653" s="526" t="s">
        <v>919</v>
      </c>
      <c r="E653" s="527">
        <v>4.4000000000000004</v>
      </c>
      <c r="F653" s="528">
        <v>30800</v>
      </c>
      <c r="G653" s="523"/>
      <c r="H653" s="523"/>
      <c r="I653" s="523"/>
      <c r="J653" s="150"/>
      <c r="K653" s="151"/>
      <c r="L653" s="281"/>
      <c r="M653" s="523"/>
      <c r="N653" s="523"/>
      <c r="O653" s="523" t="s">
        <v>482</v>
      </c>
      <c r="P653" s="291"/>
      <c r="Q653" s="151"/>
      <c r="R653" s="281"/>
      <c r="S653" s="523"/>
      <c r="T653" s="523"/>
      <c r="U653" s="523" t="s">
        <v>482</v>
      </c>
      <c r="V653" s="291"/>
      <c r="W653" s="151"/>
      <c r="X653" s="281"/>
      <c r="Y653" s="523"/>
      <c r="Z653" s="523"/>
      <c r="AA653" s="523" t="s">
        <v>482</v>
      </c>
      <c r="AB653" s="291"/>
      <c r="AC653" s="151"/>
      <c r="AD653" s="529"/>
      <c r="AE653" s="523"/>
      <c r="AF653" s="523"/>
      <c r="AG653" s="523" t="s">
        <v>482</v>
      </c>
      <c r="AH653" s="291"/>
      <c r="AI653" s="523"/>
      <c r="AJ653" s="529"/>
      <c r="AK653" s="523"/>
      <c r="AL653" s="523"/>
      <c r="AM653" s="523" t="s">
        <v>482</v>
      </c>
      <c r="AN653" s="291"/>
      <c r="AO653" s="523"/>
      <c r="AP653" s="529"/>
      <c r="AQ653" s="631"/>
      <c r="AS653" s="278"/>
      <c r="AT653" s="278"/>
      <c r="AU653" s="278"/>
      <c r="AV653" s="278"/>
      <c r="AW653" s="278"/>
      <c r="AX653" s="278"/>
      <c r="AY653" s="278"/>
    </row>
    <row r="654" spans="1:51" ht="45">
      <c r="A654" s="637">
        <v>12</v>
      </c>
      <c r="B654" s="524" t="s">
        <v>920</v>
      </c>
      <c r="C654" s="699" t="s">
        <v>921</v>
      </c>
      <c r="D654" s="526" t="s">
        <v>922</v>
      </c>
      <c r="E654" s="527">
        <v>1.2270000000000001</v>
      </c>
      <c r="F654" s="528">
        <v>7362</v>
      </c>
      <c r="G654" s="523"/>
      <c r="H654" s="523"/>
      <c r="I654" s="523"/>
      <c r="J654" s="150"/>
      <c r="K654" s="151"/>
      <c r="L654" s="281"/>
      <c r="M654" s="523"/>
      <c r="N654" s="523"/>
      <c r="O654" s="523" t="s">
        <v>482</v>
      </c>
      <c r="P654" s="291"/>
      <c r="Q654" s="151"/>
      <c r="R654" s="281"/>
      <c r="S654" s="523"/>
      <c r="T654" s="523"/>
      <c r="U654" s="523" t="s">
        <v>482</v>
      </c>
      <c r="V654" s="291"/>
      <c r="W654" s="151"/>
      <c r="X654" s="281"/>
      <c r="Y654" s="523"/>
      <c r="Z654" s="523"/>
      <c r="AA654" s="523" t="s">
        <v>482</v>
      </c>
      <c r="AB654" s="291"/>
      <c r="AC654" s="151"/>
      <c r="AD654" s="529"/>
      <c r="AE654" s="523"/>
      <c r="AF654" s="523"/>
      <c r="AG654" s="523" t="s">
        <v>482</v>
      </c>
      <c r="AH654" s="291"/>
      <c r="AI654" s="523"/>
      <c r="AJ654" s="529"/>
      <c r="AK654" s="523"/>
      <c r="AL654" s="523"/>
      <c r="AM654" s="523" t="s">
        <v>482</v>
      </c>
      <c r="AN654" s="291"/>
      <c r="AO654" s="523"/>
      <c r="AP654" s="529"/>
      <c r="AQ654" s="631"/>
      <c r="AS654" s="278"/>
      <c r="AT654" s="278"/>
      <c r="AU654" s="278"/>
      <c r="AV654" s="278"/>
      <c r="AW654" s="278"/>
      <c r="AX654" s="278"/>
      <c r="AY654" s="278"/>
    </row>
    <row r="655" spans="1:51" ht="30">
      <c r="A655" s="637">
        <v>13</v>
      </c>
      <c r="B655" s="524" t="s">
        <v>923</v>
      </c>
      <c r="C655" s="699" t="s">
        <v>924</v>
      </c>
      <c r="D655" s="526" t="s">
        <v>925</v>
      </c>
      <c r="E655" s="527">
        <v>2.0920000000000001</v>
      </c>
      <c r="F655" s="528">
        <v>14644</v>
      </c>
      <c r="G655" s="523"/>
      <c r="H655" s="523"/>
      <c r="I655" s="523"/>
      <c r="J655" s="150"/>
      <c r="K655" s="151"/>
      <c r="L655" s="281"/>
      <c r="M655" s="523"/>
      <c r="N655" s="523"/>
      <c r="O655" s="523" t="s">
        <v>482</v>
      </c>
      <c r="P655" s="291"/>
      <c r="Q655" s="151"/>
      <c r="R655" s="281"/>
      <c r="S655" s="523"/>
      <c r="T655" s="523"/>
      <c r="U655" s="523" t="s">
        <v>482</v>
      </c>
      <c r="V655" s="291"/>
      <c r="W655" s="151"/>
      <c r="X655" s="281"/>
      <c r="Y655" s="523"/>
      <c r="Z655" s="523"/>
      <c r="AA655" s="523" t="s">
        <v>482</v>
      </c>
      <c r="AB655" s="291"/>
      <c r="AC655" s="151"/>
      <c r="AD655" s="529"/>
      <c r="AE655" s="523"/>
      <c r="AF655" s="523"/>
      <c r="AG655" s="523" t="s">
        <v>482</v>
      </c>
      <c r="AH655" s="291"/>
      <c r="AI655" s="523"/>
      <c r="AJ655" s="529"/>
      <c r="AK655" s="523"/>
      <c r="AL655" s="523"/>
      <c r="AM655" s="523" t="s">
        <v>482</v>
      </c>
      <c r="AN655" s="291"/>
      <c r="AO655" s="523"/>
      <c r="AP655" s="529"/>
      <c r="AQ655" s="631"/>
      <c r="AS655" s="278"/>
      <c r="AT655" s="278"/>
      <c r="AU655" s="278"/>
      <c r="AV655" s="278"/>
      <c r="AW655" s="278"/>
      <c r="AX655" s="278"/>
      <c r="AY655" s="278"/>
    </row>
    <row r="656" spans="1:51" ht="30">
      <c r="A656" s="637">
        <v>14</v>
      </c>
      <c r="B656" s="524">
        <v>805528</v>
      </c>
      <c r="C656" s="699" t="s">
        <v>926</v>
      </c>
      <c r="D656" s="526" t="s">
        <v>927</v>
      </c>
      <c r="E656" s="527">
        <v>3.5</v>
      </c>
      <c r="F656" s="528">
        <v>21000</v>
      </c>
      <c r="G656" s="523"/>
      <c r="H656" s="523"/>
      <c r="I656" s="523"/>
      <c r="J656" s="150"/>
      <c r="K656" s="151"/>
      <c r="L656" s="281"/>
      <c r="M656" s="523"/>
      <c r="N656" s="523"/>
      <c r="O656" s="523" t="s">
        <v>482</v>
      </c>
      <c r="P656" s="291"/>
      <c r="Q656" s="151"/>
      <c r="R656" s="281"/>
      <c r="S656" s="523"/>
      <c r="T656" s="523"/>
      <c r="U656" s="523" t="s">
        <v>482</v>
      </c>
      <c r="V656" s="291"/>
      <c r="W656" s="151"/>
      <c r="X656" s="281"/>
      <c r="Y656" s="523"/>
      <c r="Z656" s="523"/>
      <c r="AA656" s="523" t="s">
        <v>482</v>
      </c>
      <c r="AB656" s="291"/>
      <c r="AC656" s="151"/>
      <c r="AD656" s="529"/>
      <c r="AE656" s="523"/>
      <c r="AF656" s="523"/>
      <c r="AG656" s="523" t="s">
        <v>482</v>
      </c>
      <c r="AH656" s="291"/>
      <c r="AI656" s="523"/>
      <c r="AJ656" s="529"/>
      <c r="AK656" s="523"/>
      <c r="AL656" s="523"/>
      <c r="AM656" s="523" t="s">
        <v>482</v>
      </c>
      <c r="AN656" s="291"/>
      <c r="AO656" s="523"/>
      <c r="AP656" s="529"/>
      <c r="AQ656" s="631"/>
      <c r="AS656" s="278"/>
      <c r="AT656" s="278"/>
      <c r="AU656" s="278"/>
      <c r="AV656" s="278"/>
      <c r="AW656" s="278"/>
      <c r="AX656" s="278"/>
      <c r="AY656" s="278"/>
    </row>
    <row r="657" spans="1:51" ht="30">
      <c r="A657" s="637">
        <v>15</v>
      </c>
      <c r="B657" s="524" t="s">
        <v>928</v>
      </c>
      <c r="C657" s="699" t="s">
        <v>929</v>
      </c>
      <c r="D657" s="526" t="s">
        <v>930</v>
      </c>
      <c r="E657" s="527">
        <v>1.5</v>
      </c>
      <c r="F657" s="528">
        <v>9000</v>
      </c>
      <c r="G657" s="523"/>
      <c r="H657" s="523"/>
      <c r="I657" s="523"/>
      <c r="J657" s="150"/>
      <c r="K657" s="151"/>
      <c r="L657" s="281"/>
      <c r="M657" s="523"/>
      <c r="N657" s="523"/>
      <c r="O657" s="523" t="s">
        <v>482</v>
      </c>
      <c r="P657" s="291"/>
      <c r="Q657" s="151"/>
      <c r="R657" s="281"/>
      <c r="S657" s="523"/>
      <c r="T657" s="523"/>
      <c r="U657" s="523" t="s">
        <v>482</v>
      </c>
      <c r="V657" s="291"/>
      <c r="W657" s="151"/>
      <c r="X657" s="281"/>
      <c r="Y657" s="523"/>
      <c r="Z657" s="523"/>
      <c r="AA657" s="523" t="s">
        <v>482</v>
      </c>
      <c r="AB657" s="291"/>
      <c r="AC657" s="151"/>
      <c r="AD657" s="529"/>
      <c r="AE657" s="523"/>
      <c r="AF657" s="523"/>
      <c r="AG657" s="523" t="s">
        <v>482</v>
      </c>
      <c r="AH657" s="291"/>
      <c r="AI657" s="523"/>
      <c r="AJ657" s="529"/>
      <c r="AK657" s="523"/>
      <c r="AL657" s="523"/>
      <c r="AM657" s="523" t="s">
        <v>482</v>
      </c>
      <c r="AN657" s="291"/>
      <c r="AO657" s="523"/>
      <c r="AP657" s="529"/>
      <c r="AQ657" s="631"/>
      <c r="AS657" s="278"/>
      <c r="AT657" s="278"/>
      <c r="AU657" s="278"/>
      <c r="AV657" s="278"/>
      <c r="AW657" s="278"/>
      <c r="AX657" s="278"/>
      <c r="AY657" s="278"/>
    </row>
    <row r="658" spans="1:51" ht="30">
      <c r="A658" s="637">
        <v>16</v>
      </c>
      <c r="B658" s="524" t="s">
        <v>931</v>
      </c>
      <c r="C658" s="699" t="s">
        <v>932</v>
      </c>
      <c r="D658" s="526" t="s">
        <v>933</v>
      </c>
      <c r="E658" s="527">
        <v>24.376999999999999</v>
      </c>
      <c r="F658" s="528">
        <v>160888.19999999998</v>
      </c>
      <c r="G658" s="523"/>
      <c r="H658" s="523"/>
      <c r="I658" s="523"/>
      <c r="J658" s="150"/>
      <c r="K658" s="151"/>
      <c r="L658" s="281"/>
      <c r="M658" s="523"/>
      <c r="N658" s="523"/>
      <c r="O658" s="523" t="s">
        <v>482</v>
      </c>
      <c r="P658" s="291"/>
      <c r="Q658" s="151"/>
      <c r="R658" s="281"/>
      <c r="S658" s="523"/>
      <c r="T658" s="523"/>
      <c r="U658" s="523" t="s">
        <v>482</v>
      </c>
      <c r="V658" s="291"/>
      <c r="W658" s="151"/>
      <c r="X658" s="281"/>
      <c r="Y658" s="523"/>
      <c r="Z658" s="523"/>
      <c r="AA658" s="523" t="s">
        <v>482</v>
      </c>
      <c r="AB658" s="291"/>
      <c r="AC658" s="151"/>
      <c r="AD658" s="529"/>
      <c r="AE658" s="523"/>
      <c r="AF658" s="523"/>
      <c r="AG658" s="523" t="s">
        <v>482</v>
      </c>
      <c r="AH658" s="291"/>
      <c r="AI658" s="523"/>
      <c r="AJ658" s="529"/>
      <c r="AK658" s="523"/>
      <c r="AL658" s="523"/>
      <c r="AM658" s="523" t="s">
        <v>482</v>
      </c>
      <c r="AN658" s="291"/>
      <c r="AO658" s="523"/>
      <c r="AP658" s="529"/>
      <c r="AQ658" s="631"/>
      <c r="AS658" s="278"/>
      <c r="AT658" s="278"/>
      <c r="AU658" s="278"/>
      <c r="AV658" s="278"/>
      <c r="AW658" s="278"/>
      <c r="AX658" s="278"/>
      <c r="AY658" s="278"/>
    </row>
    <row r="659" spans="1:51" ht="45">
      <c r="A659" s="637">
        <v>17</v>
      </c>
      <c r="B659" s="524" t="s">
        <v>843</v>
      </c>
      <c r="C659" s="699" t="s">
        <v>844</v>
      </c>
      <c r="D659" s="526" t="s">
        <v>845</v>
      </c>
      <c r="E659" s="527">
        <v>23.731999999999999</v>
      </c>
      <c r="F659" s="528">
        <v>142392</v>
      </c>
      <c r="G659" s="523"/>
      <c r="H659" s="523"/>
      <c r="I659" s="523"/>
      <c r="J659" s="150"/>
      <c r="K659" s="151"/>
      <c r="L659" s="281"/>
      <c r="M659" s="523"/>
      <c r="N659" s="523"/>
      <c r="O659" s="523" t="s">
        <v>482</v>
      </c>
      <c r="P659" s="291"/>
      <c r="Q659" s="151"/>
      <c r="R659" s="281"/>
      <c r="S659" s="523"/>
      <c r="T659" s="523"/>
      <c r="U659" s="523" t="s">
        <v>482</v>
      </c>
      <c r="V659" s="291"/>
      <c r="W659" s="151"/>
      <c r="X659" s="281"/>
      <c r="Y659" s="523"/>
      <c r="Z659" s="523"/>
      <c r="AA659" s="523"/>
      <c r="AB659" s="291"/>
      <c r="AC659" s="151"/>
      <c r="AD659" s="529"/>
      <c r="AE659" s="523"/>
      <c r="AF659" s="523"/>
      <c r="AG659" s="523" t="s">
        <v>482</v>
      </c>
      <c r="AH659" s="291"/>
      <c r="AI659" s="523"/>
      <c r="AJ659" s="529"/>
      <c r="AK659" s="523"/>
      <c r="AL659" s="523"/>
      <c r="AM659" s="523" t="s">
        <v>482</v>
      </c>
      <c r="AN659" s="291"/>
      <c r="AO659" s="523"/>
      <c r="AP659" s="529"/>
      <c r="AQ659" s="631"/>
      <c r="AS659" s="278"/>
      <c r="AT659" s="278"/>
      <c r="AU659" s="278"/>
      <c r="AV659" s="278"/>
      <c r="AW659" s="278"/>
      <c r="AX659" s="278"/>
      <c r="AY659" s="278"/>
    </row>
    <row r="660" spans="1:51" ht="30">
      <c r="A660" s="637">
        <v>18</v>
      </c>
      <c r="B660" s="524" t="s">
        <v>934</v>
      </c>
      <c r="C660" s="699" t="s">
        <v>935</v>
      </c>
      <c r="D660" s="526" t="s">
        <v>936</v>
      </c>
      <c r="E660" s="527">
        <v>25.937999999999999</v>
      </c>
      <c r="F660" s="528">
        <v>171190.8</v>
      </c>
      <c r="G660" s="523"/>
      <c r="H660" s="523"/>
      <c r="I660" s="523"/>
      <c r="J660" s="150"/>
      <c r="K660" s="151"/>
      <c r="L660" s="281"/>
      <c r="M660" s="523"/>
      <c r="N660" s="523"/>
      <c r="O660" s="523" t="s">
        <v>482</v>
      </c>
      <c r="P660" s="291"/>
      <c r="Q660" s="151"/>
      <c r="R660" s="281"/>
      <c r="S660" s="523"/>
      <c r="T660" s="523"/>
      <c r="U660" s="523" t="s">
        <v>482</v>
      </c>
      <c r="V660" s="291"/>
      <c r="W660" s="151"/>
      <c r="X660" s="281"/>
      <c r="Y660" s="523"/>
      <c r="Z660" s="523"/>
      <c r="AA660" s="523" t="s">
        <v>482</v>
      </c>
      <c r="AB660" s="291"/>
      <c r="AC660" s="151"/>
      <c r="AD660" s="529"/>
      <c r="AE660" s="523"/>
      <c r="AF660" s="523"/>
      <c r="AG660" s="523" t="s">
        <v>482</v>
      </c>
      <c r="AH660" s="291"/>
      <c r="AI660" s="523"/>
      <c r="AJ660" s="529"/>
      <c r="AK660" s="523"/>
      <c r="AL660" s="523"/>
      <c r="AM660" s="523"/>
      <c r="AN660" s="291"/>
      <c r="AO660" s="523"/>
      <c r="AP660" s="529"/>
      <c r="AQ660" s="631"/>
      <c r="AS660" s="278"/>
      <c r="AT660" s="278"/>
      <c r="AU660" s="278"/>
      <c r="AV660" s="278"/>
      <c r="AW660" s="278"/>
      <c r="AX660" s="278"/>
      <c r="AY660" s="278"/>
    </row>
    <row r="661" spans="1:51" ht="45">
      <c r="A661" s="637">
        <v>19</v>
      </c>
      <c r="B661" s="524" t="s">
        <v>937</v>
      </c>
      <c r="C661" s="699" t="s">
        <v>938</v>
      </c>
      <c r="D661" s="526" t="s">
        <v>939</v>
      </c>
      <c r="E661" s="527">
        <v>0.15</v>
      </c>
      <c r="F661" s="528">
        <v>975</v>
      </c>
      <c r="G661" s="523"/>
      <c r="H661" s="523"/>
      <c r="I661" s="523"/>
      <c r="J661" s="150"/>
      <c r="K661" s="151"/>
      <c r="L661" s="281"/>
      <c r="M661" s="523"/>
      <c r="N661" s="523"/>
      <c r="O661" s="523" t="s">
        <v>482</v>
      </c>
      <c r="P661" s="291"/>
      <c r="Q661" s="151"/>
      <c r="R661" s="281"/>
      <c r="S661" s="523"/>
      <c r="T661" s="523"/>
      <c r="U661" s="523" t="s">
        <v>482</v>
      </c>
      <c r="V661" s="291"/>
      <c r="W661" s="151"/>
      <c r="X661" s="281"/>
      <c r="Y661" s="523"/>
      <c r="Z661" s="523"/>
      <c r="AA661" s="523" t="s">
        <v>482</v>
      </c>
      <c r="AB661" s="291"/>
      <c r="AC661" s="151"/>
      <c r="AD661" s="529"/>
      <c r="AE661" s="523"/>
      <c r="AF661" s="523"/>
      <c r="AG661" s="523" t="s">
        <v>482</v>
      </c>
      <c r="AH661" s="291"/>
      <c r="AI661" s="523"/>
      <c r="AJ661" s="529"/>
      <c r="AK661" s="523"/>
      <c r="AL661" s="523"/>
      <c r="AM661" s="523" t="s">
        <v>482</v>
      </c>
      <c r="AN661" s="291"/>
      <c r="AO661" s="523"/>
      <c r="AP661" s="529"/>
      <c r="AQ661" s="631"/>
      <c r="AS661" s="278"/>
      <c r="AT661" s="278"/>
      <c r="AU661" s="278"/>
      <c r="AV661" s="278"/>
      <c r="AW661" s="278"/>
      <c r="AX661" s="278"/>
      <c r="AY661" s="278"/>
    </row>
    <row r="662" spans="1:51" ht="75">
      <c r="A662" s="637">
        <v>23</v>
      </c>
      <c r="B662" s="524" t="s">
        <v>940</v>
      </c>
      <c r="C662" s="699" t="s">
        <v>941</v>
      </c>
      <c r="D662" s="526" t="s">
        <v>942</v>
      </c>
      <c r="E662" s="527">
        <v>41.697000000000003</v>
      </c>
      <c r="F662" s="528">
        <v>271030.5</v>
      </c>
      <c r="G662" s="523"/>
      <c r="H662" s="523"/>
      <c r="I662" s="523"/>
      <c r="J662" s="150"/>
      <c r="K662" s="151"/>
      <c r="L662" s="281"/>
      <c r="M662" s="523"/>
      <c r="N662" s="523"/>
      <c r="O662" s="523" t="s">
        <v>482</v>
      </c>
      <c r="P662" s="291"/>
      <c r="Q662" s="151"/>
      <c r="R662" s="281"/>
      <c r="S662" s="523"/>
      <c r="T662" s="523"/>
      <c r="U662" s="523" t="s">
        <v>482</v>
      </c>
      <c r="V662" s="291"/>
      <c r="W662" s="151"/>
      <c r="X662" s="281"/>
      <c r="Y662" s="523"/>
      <c r="Z662" s="523"/>
      <c r="AA662" s="523" t="s">
        <v>482</v>
      </c>
      <c r="AB662" s="291"/>
      <c r="AC662" s="151"/>
      <c r="AD662" s="529"/>
      <c r="AE662" s="523"/>
      <c r="AF662" s="523"/>
      <c r="AG662" s="523"/>
      <c r="AH662" s="291"/>
      <c r="AI662" s="523"/>
      <c r="AJ662" s="529"/>
      <c r="AK662" s="523"/>
      <c r="AL662" s="523"/>
      <c r="AM662" s="523"/>
      <c r="AN662" s="291"/>
      <c r="AO662" s="523"/>
      <c r="AP662" s="529"/>
      <c r="AQ662" s="631"/>
      <c r="AS662" s="278"/>
      <c r="AT662" s="278"/>
      <c r="AU662" s="278"/>
      <c r="AV662" s="278"/>
      <c r="AW662" s="278"/>
      <c r="AX662" s="278"/>
      <c r="AY662" s="278"/>
    </row>
    <row r="663" spans="1:51" ht="30">
      <c r="A663" s="637">
        <v>24</v>
      </c>
      <c r="B663" s="524" t="s">
        <v>943</v>
      </c>
      <c r="C663" s="699" t="s">
        <v>944</v>
      </c>
      <c r="D663" s="526" t="s">
        <v>945</v>
      </c>
      <c r="E663" s="527">
        <v>1.6419999999999999</v>
      </c>
      <c r="F663" s="528">
        <v>10755.1</v>
      </c>
      <c r="G663" s="523"/>
      <c r="H663" s="523"/>
      <c r="I663" s="523"/>
      <c r="J663" s="150"/>
      <c r="K663" s="151"/>
      <c r="L663" s="281"/>
      <c r="M663" s="523"/>
      <c r="N663" s="523"/>
      <c r="O663" s="523" t="s">
        <v>482</v>
      </c>
      <c r="P663" s="291"/>
      <c r="Q663" s="151"/>
      <c r="R663" s="281"/>
      <c r="S663" s="523"/>
      <c r="T663" s="523"/>
      <c r="U663" s="523" t="s">
        <v>482</v>
      </c>
      <c r="V663" s="291"/>
      <c r="W663" s="151"/>
      <c r="X663" s="281"/>
      <c r="Y663" s="523"/>
      <c r="Z663" s="523"/>
      <c r="AA663" s="523" t="s">
        <v>482</v>
      </c>
      <c r="AB663" s="291"/>
      <c r="AC663" s="151"/>
      <c r="AD663" s="529"/>
      <c r="AE663" s="523"/>
      <c r="AF663" s="523"/>
      <c r="AG663" s="523"/>
      <c r="AH663" s="291"/>
      <c r="AI663" s="523"/>
      <c r="AJ663" s="529"/>
      <c r="AK663" s="523"/>
      <c r="AL663" s="523"/>
      <c r="AM663" s="523"/>
      <c r="AN663" s="291"/>
      <c r="AO663" s="523"/>
      <c r="AP663" s="529"/>
      <c r="AQ663" s="631"/>
      <c r="AS663" s="278"/>
      <c r="AT663" s="278"/>
      <c r="AU663" s="278"/>
      <c r="AV663" s="278"/>
      <c r="AW663" s="278"/>
      <c r="AX663" s="278"/>
      <c r="AY663" s="278"/>
    </row>
    <row r="664" spans="1:51" ht="30">
      <c r="A664" s="637">
        <v>25</v>
      </c>
      <c r="B664" s="524" t="s">
        <v>946</v>
      </c>
      <c r="C664" s="699" t="s">
        <v>947</v>
      </c>
      <c r="D664" s="526" t="s">
        <v>948</v>
      </c>
      <c r="E664" s="527">
        <v>40.857999999999997</v>
      </c>
      <c r="F664" s="528">
        <v>298263.39999999997</v>
      </c>
      <c r="G664" s="523"/>
      <c r="H664" s="523"/>
      <c r="I664" s="523"/>
      <c r="J664" s="150"/>
      <c r="K664" s="151"/>
      <c r="L664" s="281"/>
      <c r="M664" s="523"/>
      <c r="N664" s="523"/>
      <c r="O664" s="523" t="s">
        <v>482</v>
      </c>
      <c r="P664" s="291"/>
      <c r="Q664" s="151"/>
      <c r="R664" s="281"/>
      <c r="S664" s="523"/>
      <c r="T664" s="523"/>
      <c r="U664" s="523" t="s">
        <v>482</v>
      </c>
      <c r="V664" s="291"/>
      <c r="W664" s="151"/>
      <c r="X664" s="281"/>
      <c r="Y664" s="523"/>
      <c r="Z664" s="523"/>
      <c r="AA664" s="154"/>
      <c r="AB664" s="292"/>
      <c r="AC664" s="151"/>
      <c r="AD664" s="157"/>
      <c r="AE664" s="523"/>
      <c r="AF664" s="523"/>
      <c r="AG664" s="523"/>
      <c r="AH664" s="291"/>
      <c r="AI664" s="523"/>
      <c r="AJ664" s="529"/>
      <c r="AK664" s="523"/>
      <c r="AL664" s="523"/>
      <c r="AM664" s="523"/>
      <c r="AN664" s="291"/>
      <c r="AO664" s="523"/>
      <c r="AP664" s="529"/>
      <c r="AQ664" s="631"/>
      <c r="AS664" s="278"/>
      <c r="AT664" s="278"/>
      <c r="AU664" s="278"/>
      <c r="AV664" s="278"/>
      <c r="AW664" s="278"/>
      <c r="AX664" s="278"/>
      <c r="AY664" s="278"/>
    </row>
    <row r="665" spans="1:51" ht="30">
      <c r="A665" s="637">
        <v>26</v>
      </c>
      <c r="B665" s="524" t="s">
        <v>949</v>
      </c>
      <c r="C665" s="699" t="s">
        <v>950</v>
      </c>
      <c r="D665" s="526" t="s">
        <v>951</v>
      </c>
      <c r="E665" s="527">
        <v>5.577</v>
      </c>
      <c r="F665" s="528">
        <v>33462</v>
      </c>
      <c r="G665" s="523"/>
      <c r="H665" s="523"/>
      <c r="I665" s="523"/>
      <c r="J665" s="150"/>
      <c r="K665" s="151"/>
      <c r="L665" s="281"/>
      <c r="M665" s="523"/>
      <c r="N665" s="523"/>
      <c r="O665" s="523" t="s">
        <v>482</v>
      </c>
      <c r="P665" s="291"/>
      <c r="Q665" s="151"/>
      <c r="R665" s="281"/>
      <c r="S665" s="523"/>
      <c r="T665" s="523"/>
      <c r="U665" s="523" t="s">
        <v>482</v>
      </c>
      <c r="V665" s="291"/>
      <c r="W665" s="151"/>
      <c r="X665" s="281"/>
      <c r="Y665" s="523"/>
      <c r="Z665" s="523"/>
      <c r="AA665" s="523" t="s">
        <v>482</v>
      </c>
      <c r="AB665" s="291"/>
      <c r="AC665" s="151"/>
      <c r="AD665" s="529"/>
      <c r="AE665" s="523"/>
      <c r="AF665" s="523"/>
      <c r="AG665" s="523" t="s">
        <v>482</v>
      </c>
      <c r="AH665" s="291"/>
      <c r="AI665" s="523"/>
      <c r="AJ665" s="529"/>
      <c r="AK665" s="523"/>
      <c r="AL665" s="523"/>
      <c r="AM665" s="523" t="s">
        <v>482</v>
      </c>
      <c r="AN665" s="291"/>
      <c r="AO665" s="523"/>
      <c r="AP665" s="529"/>
      <c r="AQ665" s="631"/>
      <c r="AS665" s="278"/>
      <c r="AT665" s="278"/>
      <c r="AU665" s="278"/>
      <c r="AV665" s="278"/>
      <c r="AW665" s="278"/>
      <c r="AX665" s="278"/>
      <c r="AY665" s="278"/>
    </row>
    <row r="666" spans="1:51" ht="30">
      <c r="A666" s="637">
        <v>27</v>
      </c>
      <c r="B666" s="524" t="s">
        <v>952</v>
      </c>
      <c r="C666" s="699" t="s">
        <v>953</v>
      </c>
      <c r="D666" s="526" t="s">
        <v>954</v>
      </c>
      <c r="E666" s="527">
        <v>29.32</v>
      </c>
      <c r="F666" s="528">
        <v>174160.80000000002</v>
      </c>
      <c r="G666" s="523"/>
      <c r="H666" s="523"/>
      <c r="I666" s="523"/>
      <c r="J666" s="150"/>
      <c r="K666" s="151"/>
      <c r="L666" s="281"/>
      <c r="M666" s="523"/>
      <c r="N666" s="523"/>
      <c r="O666" s="523" t="s">
        <v>482</v>
      </c>
      <c r="P666" s="291"/>
      <c r="Q666" s="151"/>
      <c r="R666" s="281"/>
      <c r="S666" s="523"/>
      <c r="T666" s="523"/>
      <c r="U666" s="523" t="s">
        <v>482</v>
      </c>
      <c r="V666" s="291"/>
      <c r="W666" s="151"/>
      <c r="X666" s="281"/>
      <c r="Y666" s="523"/>
      <c r="Z666" s="523"/>
      <c r="AA666" s="523" t="s">
        <v>482</v>
      </c>
      <c r="AB666" s="291"/>
      <c r="AC666" s="151"/>
      <c r="AD666" s="529"/>
      <c r="AE666" s="523"/>
      <c r="AF666" s="523"/>
      <c r="AG666" s="523" t="s">
        <v>482</v>
      </c>
      <c r="AH666" s="291"/>
      <c r="AI666" s="523"/>
      <c r="AJ666" s="529"/>
      <c r="AK666" s="523"/>
      <c r="AL666" s="523"/>
      <c r="AM666" s="523" t="s">
        <v>482</v>
      </c>
      <c r="AN666" s="291"/>
      <c r="AO666" s="523"/>
      <c r="AP666" s="529"/>
      <c r="AQ666" s="631"/>
      <c r="AS666" s="278"/>
      <c r="AT666" s="278"/>
      <c r="AU666" s="278"/>
      <c r="AV666" s="278"/>
      <c r="AW666" s="278"/>
      <c r="AX666" s="278"/>
      <c r="AY666" s="278"/>
    </row>
    <row r="667" spans="1:51" ht="45">
      <c r="A667" s="637">
        <v>28</v>
      </c>
      <c r="B667" s="524" t="s">
        <v>955</v>
      </c>
      <c r="C667" s="699" t="s">
        <v>956</v>
      </c>
      <c r="D667" s="526" t="s">
        <v>957</v>
      </c>
      <c r="E667" s="527">
        <v>5.76</v>
      </c>
      <c r="F667" s="528">
        <v>34560</v>
      </c>
      <c r="G667" s="523"/>
      <c r="H667" s="523"/>
      <c r="I667" s="523"/>
      <c r="J667" s="150"/>
      <c r="K667" s="151"/>
      <c r="L667" s="281"/>
      <c r="M667" s="523"/>
      <c r="N667" s="523"/>
      <c r="O667" s="523" t="s">
        <v>482</v>
      </c>
      <c r="P667" s="291"/>
      <c r="Q667" s="151"/>
      <c r="R667" s="281"/>
      <c r="S667" s="523"/>
      <c r="T667" s="523"/>
      <c r="U667" s="523" t="s">
        <v>482</v>
      </c>
      <c r="V667" s="291"/>
      <c r="W667" s="151"/>
      <c r="X667" s="281"/>
      <c r="Y667" s="523"/>
      <c r="Z667" s="523"/>
      <c r="AA667" s="523" t="s">
        <v>482</v>
      </c>
      <c r="AB667" s="291"/>
      <c r="AC667" s="151"/>
      <c r="AD667" s="529"/>
      <c r="AE667" s="523"/>
      <c r="AF667" s="523"/>
      <c r="AG667" s="523" t="s">
        <v>482</v>
      </c>
      <c r="AH667" s="291"/>
      <c r="AI667" s="523"/>
      <c r="AJ667" s="529"/>
      <c r="AK667" s="523"/>
      <c r="AL667" s="523"/>
      <c r="AM667" s="523" t="s">
        <v>482</v>
      </c>
      <c r="AN667" s="291"/>
      <c r="AO667" s="523"/>
      <c r="AP667" s="529"/>
      <c r="AQ667" s="631"/>
      <c r="AS667" s="278"/>
      <c r="AT667" s="278"/>
      <c r="AU667" s="278"/>
      <c r="AV667" s="278"/>
      <c r="AW667" s="278"/>
      <c r="AX667" s="278"/>
      <c r="AY667" s="278"/>
    </row>
    <row r="668" spans="1:51" ht="30">
      <c r="A668" s="637">
        <v>29</v>
      </c>
      <c r="B668" s="524" t="s">
        <v>958</v>
      </c>
      <c r="C668" s="699" t="s">
        <v>959</v>
      </c>
      <c r="D668" s="526" t="s">
        <v>960</v>
      </c>
      <c r="E668" s="527">
        <v>0.45</v>
      </c>
      <c r="F668" s="528">
        <v>2700</v>
      </c>
      <c r="G668" s="523"/>
      <c r="H668" s="523"/>
      <c r="I668" s="523"/>
      <c r="J668" s="150"/>
      <c r="K668" s="151"/>
      <c r="L668" s="281"/>
      <c r="M668" s="523"/>
      <c r="N668" s="523"/>
      <c r="O668" s="523" t="s">
        <v>482</v>
      </c>
      <c r="P668" s="291"/>
      <c r="Q668" s="151"/>
      <c r="R668" s="281"/>
      <c r="S668" s="523"/>
      <c r="T668" s="523"/>
      <c r="U668" s="523" t="s">
        <v>482</v>
      </c>
      <c r="V668" s="291"/>
      <c r="W668" s="151"/>
      <c r="X668" s="281"/>
      <c r="Y668" s="523"/>
      <c r="Z668" s="523"/>
      <c r="AA668" s="523" t="s">
        <v>482</v>
      </c>
      <c r="AB668" s="291"/>
      <c r="AC668" s="151"/>
      <c r="AD668" s="529"/>
      <c r="AE668" s="523"/>
      <c r="AF668" s="523"/>
      <c r="AG668" s="523" t="s">
        <v>482</v>
      </c>
      <c r="AH668" s="291"/>
      <c r="AI668" s="523"/>
      <c r="AJ668" s="529"/>
      <c r="AK668" s="523"/>
      <c r="AL668" s="523"/>
      <c r="AM668" s="523" t="s">
        <v>482</v>
      </c>
      <c r="AN668" s="291"/>
      <c r="AO668" s="523"/>
      <c r="AP668" s="529"/>
      <c r="AQ668" s="631"/>
      <c r="AS668" s="278"/>
      <c r="AT668" s="278"/>
      <c r="AU668" s="278"/>
      <c r="AV668" s="278"/>
      <c r="AW668" s="278"/>
      <c r="AX668" s="278"/>
      <c r="AY668" s="278"/>
    </row>
    <row r="669" spans="1:51" ht="30">
      <c r="A669" s="637">
        <v>30</v>
      </c>
      <c r="B669" s="524" t="s">
        <v>961</v>
      </c>
      <c r="C669" s="699" t="s">
        <v>962</v>
      </c>
      <c r="D669" s="526" t="s">
        <v>963</v>
      </c>
      <c r="E669" s="527">
        <v>29.96</v>
      </c>
      <c r="F669" s="528">
        <v>179760</v>
      </c>
      <c r="G669" s="523"/>
      <c r="H669" s="523"/>
      <c r="I669" s="523"/>
      <c r="J669" s="150"/>
      <c r="K669" s="151"/>
      <c r="L669" s="281"/>
      <c r="M669" s="523"/>
      <c r="N669" s="523"/>
      <c r="O669" s="523" t="s">
        <v>482</v>
      </c>
      <c r="P669" s="291"/>
      <c r="Q669" s="151"/>
      <c r="R669" s="281"/>
      <c r="S669" s="523"/>
      <c r="T669" s="523"/>
      <c r="U669" s="523" t="s">
        <v>482</v>
      </c>
      <c r="V669" s="291"/>
      <c r="W669" s="151"/>
      <c r="X669" s="281"/>
      <c r="Y669" s="523"/>
      <c r="Z669" s="523"/>
      <c r="AA669" s="523"/>
      <c r="AB669" s="291"/>
      <c r="AC669" s="151"/>
      <c r="AD669" s="529"/>
      <c r="AE669" s="523"/>
      <c r="AF669" s="523"/>
      <c r="AG669" s="523" t="s">
        <v>482</v>
      </c>
      <c r="AH669" s="291"/>
      <c r="AI669" s="523"/>
      <c r="AJ669" s="529"/>
      <c r="AK669" s="523"/>
      <c r="AL669" s="523"/>
      <c r="AM669" s="523" t="s">
        <v>482</v>
      </c>
      <c r="AN669" s="291"/>
      <c r="AO669" s="523"/>
      <c r="AP669" s="529"/>
      <c r="AQ669" s="631"/>
      <c r="AS669" s="278"/>
      <c r="AT669" s="278"/>
      <c r="AU669" s="278"/>
      <c r="AV669" s="278"/>
      <c r="AW669" s="278"/>
      <c r="AX669" s="278"/>
      <c r="AY669" s="278"/>
    </row>
    <row r="670" spans="1:51">
      <c r="A670" s="637"/>
      <c r="B670" s="152"/>
      <c r="C670" s="701"/>
      <c r="D670" s="153"/>
      <c r="E670" s="154"/>
      <c r="F670" s="155"/>
      <c r="G670" s="154"/>
      <c r="H670" s="154"/>
      <c r="I670" s="154"/>
      <c r="J670" s="156"/>
      <c r="K670" s="155"/>
      <c r="L670" s="282"/>
      <c r="M670" s="154"/>
      <c r="N670" s="154"/>
      <c r="O670" s="154"/>
      <c r="P670" s="292"/>
      <c r="Q670" s="155"/>
      <c r="R670" s="282"/>
      <c r="S670" s="154"/>
      <c r="T670" s="154"/>
      <c r="U670" s="154"/>
      <c r="V670" s="292"/>
      <c r="W670" s="155"/>
      <c r="X670" s="282"/>
      <c r="Y670" s="154"/>
      <c r="Z670" s="154"/>
      <c r="AA670" s="154"/>
      <c r="AB670" s="292"/>
      <c r="AC670" s="155"/>
      <c r="AD670" s="157"/>
      <c r="AE670" s="154"/>
      <c r="AF670" s="154"/>
      <c r="AG670" s="154"/>
      <c r="AH670" s="292"/>
      <c r="AI670" s="154"/>
      <c r="AJ670" s="157"/>
      <c r="AK670" s="154"/>
      <c r="AL670" s="154"/>
      <c r="AM670" s="154"/>
      <c r="AN670" s="292"/>
      <c r="AO670" s="154"/>
      <c r="AP670" s="157"/>
      <c r="AQ670" s="631"/>
      <c r="AS670" s="278"/>
      <c r="AT670" s="278"/>
      <c r="AU670" s="278"/>
      <c r="AV670" s="278"/>
      <c r="AW670" s="278"/>
      <c r="AX670" s="278"/>
      <c r="AY670" s="278"/>
    </row>
    <row r="671" spans="1:51" ht="30">
      <c r="A671" s="637">
        <v>32</v>
      </c>
      <c r="B671" s="524" t="s">
        <v>964</v>
      </c>
      <c r="C671" s="699" t="s">
        <v>965</v>
      </c>
      <c r="D671" s="526" t="s">
        <v>966</v>
      </c>
      <c r="E671" s="527">
        <v>35.6</v>
      </c>
      <c r="F671" s="528">
        <v>249200</v>
      </c>
      <c r="G671" s="523"/>
      <c r="H671" s="523"/>
      <c r="I671" s="523"/>
      <c r="J671" s="150"/>
      <c r="K671" s="151"/>
      <c r="L671" s="281"/>
      <c r="M671" s="523"/>
      <c r="N671" s="523"/>
      <c r="O671" s="523" t="s">
        <v>482</v>
      </c>
      <c r="P671" s="291"/>
      <c r="Q671" s="151"/>
      <c r="R671" s="281"/>
      <c r="S671" s="523"/>
      <c r="T671" s="523"/>
      <c r="U671" s="523" t="s">
        <v>482</v>
      </c>
      <c r="V671" s="291"/>
      <c r="W671" s="151"/>
      <c r="X671" s="281"/>
      <c r="Y671" s="523"/>
      <c r="Z671" s="523"/>
      <c r="AA671" s="523" t="s">
        <v>482</v>
      </c>
      <c r="AB671" s="291"/>
      <c r="AC671" s="151"/>
      <c r="AD671" s="529"/>
      <c r="AE671" s="523"/>
      <c r="AF671" s="523"/>
      <c r="AG671" s="523" t="s">
        <v>482</v>
      </c>
      <c r="AH671" s="291"/>
      <c r="AI671" s="523"/>
      <c r="AJ671" s="529"/>
      <c r="AK671" s="523"/>
      <c r="AL671" s="523"/>
      <c r="AM671" s="523" t="s">
        <v>482</v>
      </c>
      <c r="AN671" s="291"/>
      <c r="AO671" s="523"/>
      <c r="AP671" s="529"/>
      <c r="AQ671" s="631"/>
      <c r="AS671" s="278"/>
      <c r="AT671" s="278"/>
      <c r="AU671" s="278"/>
      <c r="AV671" s="278"/>
      <c r="AW671" s="278"/>
      <c r="AX671" s="278"/>
      <c r="AY671" s="278"/>
    </row>
    <row r="672" spans="1:51" ht="30">
      <c r="A672" s="637">
        <v>33</v>
      </c>
      <c r="B672" s="524" t="s">
        <v>967</v>
      </c>
      <c r="C672" s="699" t="s">
        <v>968</v>
      </c>
      <c r="D672" s="526" t="s">
        <v>969</v>
      </c>
      <c r="E672" s="527">
        <v>9.57</v>
      </c>
      <c r="F672" s="528">
        <v>57420</v>
      </c>
      <c r="G672" s="523"/>
      <c r="H672" s="523"/>
      <c r="I672" s="523"/>
      <c r="J672" s="150"/>
      <c r="K672" s="151"/>
      <c r="L672" s="281"/>
      <c r="M672" s="523"/>
      <c r="N672" s="523"/>
      <c r="O672" s="523" t="s">
        <v>482</v>
      </c>
      <c r="P672" s="291"/>
      <c r="Q672" s="151"/>
      <c r="R672" s="281"/>
      <c r="S672" s="523"/>
      <c r="T672" s="523"/>
      <c r="U672" s="523" t="s">
        <v>482</v>
      </c>
      <c r="V672" s="291"/>
      <c r="W672" s="151"/>
      <c r="X672" s="281"/>
      <c r="Y672" s="523"/>
      <c r="Z672" s="523"/>
      <c r="AA672" s="523" t="s">
        <v>482</v>
      </c>
      <c r="AB672" s="291"/>
      <c r="AC672" s="151"/>
      <c r="AD672" s="529"/>
      <c r="AE672" s="523"/>
      <c r="AF672" s="523"/>
      <c r="AG672" s="523" t="s">
        <v>482</v>
      </c>
      <c r="AH672" s="291"/>
      <c r="AI672" s="523"/>
      <c r="AJ672" s="529"/>
      <c r="AK672" s="523"/>
      <c r="AL672" s="523"/>
      <c r="AM672" s="523" t="s">
        <v>482</v>
      </c>
      <c r="AN672" s="291"/>
      <c r="AO672" s="523"/>
      <c r="AP672" s="529"/>
      <c r="AQ672" s="631"/>
      <c r="AS672" s="278"/>
      <c r="AT672" s="278"/>
      <c r="AU672" s="278"/>
      <c r="AV672" s="278"/>
      <c r="AW672" s="278"/>
      <c r="AX672" s="278"/>
      <c r="AY672" s="278"/>
    </row>
    <row r="673" spans="1:51" ht="45">
      <c r="A673" s="637">
        <v>34</v>
      </c>
      <c r="B673" s="524" t="s">
        <v>970</v>
      </c>
      <c r="C673" s="699" t="s">
        <v>971</v>
      </c>
      <c r="D673" s="526" t="s">
        <v>972</v>
      </c>
      <c r="E673" s="527">
        <v>11.65</v>
      </c>
      <c r="F673" s="528">
        <v>81550</v>
      </c>
      <c r="G673" s="523"/>
      <c r="H673" s="523"/>
      <c r="I673" s="523"/>
      <c r="J673" s="150"/>
      <c r="K673" s="151"/>
      <c r="L673" s="281"/>
      <c r="M673" s="523"/>
      <c r="N673" s="523"/>
      <c r="O673" s="523" t="s">
        <v>482</v>
      </c>
      <c r="P673" s="291"/>
      <c r="Q673" s="151"/>
      <c r="R673" s="281"/>
      <c r="S673" s="523"/>
      <c r="T673" s="523"/>
      <c r="U673" s="523" t="s">
        <v>482</v>
      </c>
      <c r="V673" s="291"/>
      <c r="W673" s="151"/>
      <c r="X673" s="281"/>
      <c r="Y673" s="523"/>
      <c r="Z673" s="523"/>
      <c r="AA673" s="523" t="s">
        <v>482</v>
      </c>
      <c r="AB673" s="291"/>
      <c r="AC673" s="151"/>
      <c r="AD673" s="529"/>
      <c r="AE673" s="523"/>
      <c r="AF673" s="523"/>
      <c r="AG673" s="523" t="s">
        <v>482</v>
      </c>
      <c r="AH673" s="291"/>
      <c r="AI673" s="523"/>
      <c r="AJ673" s="529"/>
      <c r="AK673" s="523"/>
      <c r="AL673" s="523"/>
      <c r="AM673" s="523" t="s">
        <v>482</v>
      </c>
      <c r="AN673" s="291"/>
      <c r="AO673" s="523"/>
      <c r="AP673" s="529"/>
      <c r="AQ673" s="631"/>
      <c r="AS673" s="278"/>
      <c r="AT673" s="278"/>
      <c r="AU673" s="278"/>
      <c r="AV673" s="278"/>
      <c r="AW673" s="278"/>
      <c r="AX673" s="278"/>
      <c r="AY673" s="278"/>
    </row>
    <row r="674" spans="1:51" ht="45">
      <c r="A674" s="637">
        <v>35</v>
      </c>
      <c r="B674" s="524" t="s">
        <v>973</v>
      </c>
      <c r="C674" s="699" t="s">
        <v>974</v>
      </c>
      <c r="D674" s="526" t="s">
        <v>975</v>
      </c>
      <c r="E674" s="527">
        <v>1.2809999999999999</v>
      </c>
      <c r="F674" s="528">
        <v>5764.5</v>
      </c>
      <c r="G674" s="523"/>
      <c r="H674" s="523"/>
      <c r="I674" s="523"/>
      <c r="J674" s="150"/>
      <c r="K674" s="151"/>
      <c r="L674" s="281"/>
      <c r="M674" s="523"/>
      <c r="N674" s="523"/>
      <c r="O674" s="523" t="s">
        <v>482</v>
      </c>
      <c r="P674" s="291"/>
      <c r="Q674" s="151"/>
      <c r="R674" s="281"/>
      <c r="S674" s="523"/>
      <c r="T674" s="523"/>
      <c r="U674" s="523" t="s">
        <v>482</v>
      </c>
      <c r="V674" s="291"/>
      <c r="W674" s="151"/>
      <c r="X674" s="281"/>
      <c r="Y674" s="523"/>
      <c r="Z674" s="523"/>
      <c r="AA674" s="523" t="s">
        <v>482</v>
      </c>
      <c r="AB674" s="291"/>
      <c r="AC674" s="151"/>
      <c r="AD674" s="529"/>
      <c r="AE674" s="523"/>
      <c r="AF674" s="523"/>
      <c r="AG674" s="523" t="s">
        <v>482</v>
      </c>
      <c r="AH674" s="291"/>
      <c r="AI674" s="523"/>
      <c r="AJ674" s="529"/>
      <c r="AK674" s="523"/>
      <c r="AL674" s="523"/>
      <c r="AM674" s="523" t="s">
        <v>482</v>
      </c>
      <c r="AN674" s="291"/>
      <c r="AO674" s="523"/>
      <c r="AP674" s="529"/>
      <c r="AQ674" s="631"/>
      <c r="AS674" s="278"/>
      <c r="AT674" s="278"/>
      <c r="AU674" s="278"/>
      <c r="AV674" s="278"/>
      <c r="AW674" s="278"/>
      <c r="AX674" s="278"/>
      <c r="AY674" s="278"/>
    </row>
    <row r="675" spans="1:51" ht="30">
      <c r="A675" s="637">
        <v>36</v>
      </c>
      <c r="B675" s="524" t="s">
        <v>976</v>
      </c>
      <c r="C675" s="699" t="s">
        <v>977</v>
      </c>
      <c r="D675" s="526" t="s">
        <v>978</v>
      </c>
      <c r="E675" s="527">
        <v>9.19</v>
      </c>
      <c r="F675" s="528">
        <v>60654</v>
      </c>
      <c r="G675" s="523"/>
      <c r="H675" s="523"/>
      <c r="I675" s="523"/>
      <c r="J675" s="150"/>
      <c r="K675" s="151"/>
      <c r="L675" s="281"/>
      <c r="M675" s="523"/>
      <c r="N675" s="523"/>
      <c r="O675" s="523" t="s">
        <v>482</v>
      </c>
      <c r="P675" s="291"/>
      <c r="Q675" s="151"/>
      <c r="R675" s="281"/>
      <c r="S675" s="523"/>
      <c r="T675" s="523"/>
      <c r="U675" s="523" t="s">
        <v>482</v>
      </c>
      <c r="V675" s="291"/>
      <c r="W675" s="151"/>
      <c r="X675" s="281"/>
      <c r="Y675" s="523"/>
      <c r="Z675" s="523"/>
      <c r="AA675" s="523" t="s">
        <v>482</v>
      </c>
      <c r="AB675" s="291"/>
      <c r="AC675" s="151"/>
      <c r="AD675" s="529"/>
      <c r="AE675" s="523"/>
      <c r="AF675" s="523"/>
      <c r="AG675" s="523" t="s">
        <v>482</v>
      </c>
      <c r="AH675" s="291"/>
      <c r="AI675" s="523"/>
      <c r="AJ675" s="529"/>
      <c r="AK675" s="523"/>
      <c r="AL675" s="523"/>
      <c r="AM675" s="523" t="s">
        <v>482</v>
      </c>
      <c r="AN675" s="291"/>
      <c r="AO675" s="523"/>
      <c r="AP675" s="529"/>
      <c r="AQ675" s="631"/>
      <c r="AS675" s="278"/>
      <c r="AT675" s="278"/>
      <c r="AU675" s="278"/>
      <c r="AV675" s="278"/>
      <c r="AW675" s="278"/>
      <c r="AX675" s="278"/>
      <c r="AY675" s="278"/>
    </row>
    <row r="676" spans="1:51" ht="45">
      <c r="A676" s="637">
        <v>37</v>
      </c>
      <c r="B676" s="524" t="s">
        <v>979</v>
      </c>
      <c r="C676" s="699" t="s">
        <v>980</v>
      </c>
      <c r="D676" s="526" t="s">
        <v>981</v>
      </c>
      <c r="E676" s="527">
        <v>27.94</v>
      </c>
      <c r="F676" s="528">
        <v>184404</v>
      </c>
      <c r="G676" s="523"/>
      <c r="H676" s="523"/>
      <c r="I676" s="523"/>
      <c r="J676" s="150"/>
      <c r="K676" s="151"/>
      <c r="L676" s="281"/>
      <c r="M676" s="523"/>
      <c r="N676" s="523"/>
      <c r="O676" s="523" t="s">
        <v>482</v>
      </c>
      <c r="P676" s="291"/>
      <c r="Q676" s="151"/>
      <c r="R676" s="281"/>
      <c r="S676" s="523"/>
      <c r="T676" s="523"/>
      <c r="U676" s="523" t="s">
        <v>482</v>
      </c>
      <c r="V676" s="291"/>
      <c r="W676" s="151"/>
      <c r="X676" s="281"/>
      <c r="Y676" s="523"/>
      <c r="Z676" s="523"/>
      <c r="AA676" s="523" t="s">
        <v>482</v>
      </c>
      <c r="AB676" s="291"/>
      <c r="AC676" s="151"/>
      <c r="AD676" s="529"/>
      <c r="AE676" s="523"/>
      <c r="AF676" s="523"/>
      <c r="AG676" s="523" t="s">
        <v>482</v>
      </c>
      <c r="AH676" s="291"/>
      <c r="AI676" s="523"/>
      <c r="AJ676" s="529"/>
      <c r="AK676" s="523"/>
      <c r="AL676" s="523"/>
      <c r="AM676" s="523" t="s">
        <v>482</v>
      </c>
      <c r="AN676" s="291"/>
      <c r="AO676" s="523"/>
      <c r="AP676" s="529"/>
      <c r="AQ676" s="631"/>
      <c r="AS676" s="278"/>
      <c r="AT676" s="278"/>
      <c r="AU676" s="278"/>
      <c r="AV676" s="278"/>
      <c r="AW676" s="278"/>
      <c r="AX676" s="278"/>
      <c r="AY676" s="278"/>
    </row>
    <row r="677" spans="1:51" ht="60">
      <c r="A677" s="637">
        <v>38</v>
      </c>
      <c r="B677" s="524">
        <v>805871</v>
      </c>
      <c r="C677" s="699" t="s">
        <v>896</v>
      </c>
      <c r="D677" s="526" t="s">
        <v>897</v>
      </c>
      <c r="E677" s="527">
        <v>4.41</v>
      </c>
      <c r="F677" s="528">
        <v>26460</v>
      </c>
      <c r="G677" s="523"/>
      <c r="H677" s="523"/>
      <c r="I677" s="523"/>
      <c r="J677" s="150"/>
      <c r="K677" s="151"/>
      <c r="L677" s="281"/>
      <c r="M677" s="523"/>
      <c r="N677" s="523"/>
      <c r="O677" s="523" t="s">
        <v>482</v>
      </c>
      <c r="P677" s="291"/>
      <c r="Q677" s="151"/>
      <c r="R677" s="281"/>
      <c r="S677" s="523"/>
      <c r="T677" s="523"/>
      <c r="U677" s="523" t="s">
        <v>482</v>
      </c>
      <c r="V677" s="291"/>
      <c r="W677" s="151"/>
      <c r="X677" s="281"/>
      <c r="Y677" s="523"/>
      <c r="Z677" s="523"/>
      <c r="AA677" s="523" t="s">
        <v>482</v>
      </c>
      <c r="AB677" s="291"/>
      <c r="AC677" s="151"/>
      <c r="AD677" s="529"/>
      <c r="AE677" s="523"/>
      <c r="AF677" s="523"/>
      <c r="AG677" s="523" t="s">
        <v>482</v>
      </c>
      <c r="AH677" s="291"/>
      <c r="AI677" s="523"/>
      <c r="AJ677" s="529"/>
      <c r="AK677" s="523"/>
      <c r="AL677" s="523"/>
      <c r="AM677" s="523" t="s">
        <v>482</v>
      </c>
      <c r="AN677" s="291"/>
      <c r="AO677" s="523"/>
      <c r="AP677" s="529"/>
      <c r="AQ677" s="631"/>
      <c r="AS677" s="278"/>
      <c r="AT677" s="278"/>
      <c r="AU677" s="278"/>
      <c r="AV677" s="278"/>
      <c r="AW677" s="278"/>
      <c r="AX677" s="278"/>
      <c r="AY677" s="278"/>
    </row>
    <row r="678" spans="1:51" ht="30">
      <c r="A678" s="637">
        <v>39</v>
      </c>
      <c r="B678" s="524">
        <v>805742</v>
      </c>
      <c r="C678" s="699" t="s">
        <v>982</v>
      </c>
      <c r="D678" s="526" t="s">
        <v>716</v>
      </c>
      <c r="E678" s="527">
        <v>4.5999999999999996</v>
      </c>
      <c r="F678" s="528">
        <v>27600</v>
      </c>
      <c r="G678" s="523"/>
      <c r="H678" s="523"/>
      <c r="I678" s="523" t="s">
        <v>482</v>
      </c>
      <c r="J678" s="150"/>
      <c r="K678" s="151"/>
      <c r="L678" s="281"/>
      <c r="M678" s="523"/>
      <c r="N678" s="523"/>
      <c r="O678" s="523" t="s">
        <v>482</v>
      </c>
      <c r="P678" s="291"/>
      <c r="Q678" s="151"/>
      <c r="R678" s="281"/>
      <c r="S678" s="523"/>
      <c r="T678" s="523"/>
      <c r="U678" s="523" t="s">
        <v>482</v>
      </c>
      <c r="V678" s="291"/>
      <c r="W678" s="151"/>
      <c r="X678" s="281"/>
      <c r="Y678" s="523"/>
      <c r="Z678" s="523"/>
      <c r="AA678" s="523" t="s">
        <v>482</v>
      </c>
      <c r="AB678" s="291"/>
      <c r="AC678" s="151"/>
      <c r="AD678" s="529"/>
      <c r="AE678" s="523"/>
      <c r="AF678" s="523"/>
      <c r="AG678" s="523" t="s">
        <v>482</v>
      </c>
      <c r="AH678" s="291"/>
      <c r="AI678" s="523"/>
      <c r="AJ678" s="529"/>
      <c r="AK678" s="523"/>
      <c r="AL678" s="523"/>
      <c r="AM678" s="523" t="s">
        <v>482</v>
      </c>
      <c r="AN678" s="291"/>
      <c r="AO678" s="523"/>
      <c r="AP678" s="529"/>
      <c r="AQ678" s="631"/>
      <c r="AS678" s="278"/>
      <c r="AT678" s="278"/>
      <c r="AU678" s="278"/>
      <c r="AV678" s="278"/>
      <c r="AW678" s="278"/>
      <c r="AX678" s="278"/>
      <c r="AY678" s="278"/>
    </row>
    <row r="679" spans="1:51" ht="30">
      <c r="A679" s="637">
        <v>40</v>
      </c>
      <c r="B679" s="524">
        <v>805804</v>
      </c>
      <c r="C679" s="699" t="s">
        <v>983</v>
      </c>
      <c r="D679" s="526" t="s">
        <v>984</v>
      </c>
      <c r="E679" s="527">
        <v>4.8310000000000004</v>
      </c>
      <c r="F679" s="528">
        <v>28986</v>
      </c>
      <c r="G679" s="523"/>
      <c r="H679" s="523"/>
      <c r="I679" s="523" t="s">
        <v>482</v>
      </c>
      <c r="J679" s="150"/>
      <c r="K679" s="151"/>
      <c r="L679" s="281"/>
      <c r="M679" s="523"/>
      <c r="N679" s="523"/>
      <c r="O679" s="523" t="s">
        <v>482</v>
      </c>
      <c r="P679" s="291"/>
      <c r="Q679" s="151"/>
      <c r="R679" s="281"/>
      <c r="S679" s="523"/>
      <c r="T679" s="523"/>
      <c r="U679" s="523" t="s">
        <v>482</v>
      </c>
      <c r="V679" s="291"/>
      <c r="W679" s="151"/>
      <c r="X679" s="281"/>
      <c r="Y679" s="523"/>
      <c r="Z679" s="523"/>
      <c r="AA679" s="523" t="s">
        <v>482</v>
      </c>
      <c r="AB679" s="291"/>
      <c r="AC679" s="151"/>
      <c r="AD679" s="529"/>
      <c r="AE679" s="523"/>
      <c r="AF679" s="523"/>
      <c r="AG679" s="523" t="s">
        <v>482</v>
      </c>
      <c r="AH679" s="291"/>
      <c r="AI679" s="523"/>
      <c r="AJ679" s="529"/>
      <c r="AK679" s="523"/>
      <c r="AL679" s="523"/>
      <c r="AM679" s="523" t="s">
        <v>482</v>
      </c>
      <c r="AN679" s="291"/>
      <c r="AO679" s="523"/>
      <c r="AP679" s="529"/>
      <c r="AQ679" s="631"/>
      <c r="AS679" s="278"/>
      <c r="AT679" s="278"/>
      <c r="AU679" s="278"/>
      <c r="AV679" s="278"/>
      <c r="AW679" s="278"/>
      <c r="AX679" s="278"/>
      <c r="AY679" s="278"/>
    </row>
    <row r="680" spans="1:51" ht="30">
      <c r="A680" s="637">
        <v>41</v>
      </c>
      <c r="B680" s="524">
        <v>805763</v>
      </c>
      <c r="C680" s="699" t="s">
        <v>985</v>
      </c>
      <c r="D680" s="526" t="s">
        <v>986</v>
      </c>
      <c r="E680" s="527">
        <v>6.0570000000000004</v>
      </c>
      <c r="F680" s="528">
        <v>36342</v>
      </c>
      <c r="G680" s="523"/>
      <c r="H680" s="523"/>
      <c r="I680" s="523" t="s">
        <v>482</v>
      </c>
      <c r="J680" s="150"/>
      <c r="K680" s="151"/>
      <c r="L680" s="281"/>
      <c r="M680" s="523"/>
      <c r="N680" s="523"/>
      <c r="O680" s="523" t="s">
        <v>482</v>
      </c>
      <c r="P680" s="291"/>
      <c r="Q680" s="151"/>
      <c r="R680" s="281"/>
      <c r="S680" s="523"/>
      <c r="T680" s="523"/>
      <c r="U680" s="523" t="s">
        <v>482</v>
      </c>
      <c r="V680" s="291"/>
      <c r="W680" s="151"/>
      <c r="X680" s="281"/>
      <c r="Y680" s="523"/>
      <c r="Z680" s="523"/>
      <c r="AA680" s="523" t="s">
        <v>482</v>
      </c>
      <c r="AB680" s="291"/>
      <c r="AC680" s="151"/>
      <c r="AD680" s="529"/>
      <c r="AE680" s="523"/>
      <c r="AF680" s="523"/>
      <c r="AG680" s="523" t="s">
        <v>482</v>
      </c>
      <c r="AH680" s="291"/>
      <c r="AI680" s="523"/>
      <c r="AJ680" s="529"/>
      <c r="AK680" s="523"/>
      <c r="AL680" s="523"/>
      <c r="AM680" s="523" t="s">
        <v>482</v>
      </c>
      <c r="AN680" s="291"/>
      <c r="AO680" s="523"/>
      <c r="AP680" s="529"/>
      <c r="AQ680" s="631"/>
      <c r="AS680" s="278"/>
      <c r="AT680" s="278"/>
      <c r="AU680" s="278"/>
      <c r="AV680" s="278"/>
      <c r="AW680" s="278"/>
      <c r="AX680" s="278"/>
      <c r="AY680" s="278"/>
    </row>
    <row r="681" spans="1:51" ht="30">
      <c r="A681" s="637">
        <v>42</v>
      </c>
      <c r="B681" s="524" t="s">
        <v>891</v>
      </c>
      <c r="C681" s="699" t="s">
        <v>892</v>
      </c>
      <c r="D681" s="526" t="s">
        <v>893</v>
      </c>
      <c r="E681" s="527">
        <v>5.47</v>
      </c>
      <c r="F681" s="528">
        <v>38290</v>
      </c>
      <c r="G681" s="523"/>
      <c r="H681" s="523"/>
      <c r="I681" s="523" t="s">
        <v>482</v>
      </c>
      <c r="J681" s="150"/>
      <c r="K681" s="151"/>
      <c r="L681" s="281"/>
      <c r="M681" s="523"/>
      <c r="N681" s="523"/>
      <c r="O681" s="523" t="s">
        <v>482</v>
      </c>
      <c r="P681" s="291"/>
      <c r="Q681" s="151"/>
      <c r="R681" s="281"/>
      <c r="S681" s="523"/>
      <c r="T681" s="523"/>
      <c r="U681" s="523" t="s">
        <v>482</v>
      </c>
      <c r="V681" s="291"/>
      <c r="W681" s="151"/>
      <c r="X681" s="281"/>
      <c r="Y681" s="523"/>
      <c r="Z681" s="523"/>
      <c r="AA681" s="523" t="s">
        <v>482</v>
      </c>
      <c r="AB681" s="291"/>
      <c r="AC681" s="151"/>
      <c r="AD681" s="529"/>
      <c r="AE681" s="523"/>
      <c r="AF681" s="523"/>
      <c r="AG681" s="523" t="s">
        <v>482</v>
      </c>
      <c r="AH681" s="291"/>
      <c r="AI681" s="523"/>
      <c r="AJ681" s="529"/>
      <c r="AK681" s="523"/>
      <c r="AL681" s="523"/>
      <c r="AM681" s="523" t="s">
        <v>482</v>
      </c>
      <c r="AN681" s="291"/>
      <c r="AO681" s="523"/>
      <c r="AP681" s="529"/>
      <c r="AQ681" s="631"/>
      <c r="AS681" s="278"/>
      <c r="AT681" s="278"/>
      <c r="AU681" s="278"/>
      <c r="AV681" s="278"/>
      <c r="AW681" s="278"/>
      <c r="AX681" s="278"/>
      <c r="AY681" s="278"/>
    </row>
    <row r="682" spans="1:51" ht="30">
      <c r="A682" s="637">
        <v>43</v>
      </c>
      <c r="B682" s="524" t="s">
        <v>891</v>
      </c>
      <c r="C682" s="699" t="s">
        <v>892</v>
      </c>
      <c r="D682" s="526" t="s">
        <v>893</v>
      </c>
      <c r="E682" s="527">
        <v>9.43</v>
      </c>
      <c r="F682" s="528">
        <v>56580</v>
      </c>
      <c r="G682" s="523"/>
      <c r="H682" s="523"/>
      <c r="I682" s="523" t="s">
        <v>482</v>
      </c>
      <c r="J682" s="150"/>
      <c r="K682" s="151"/>
      <c r="L682" s="281"/>
      <c r="M682" s="523"/>
      <c r="N682" s="523"/>
      <c r="O682" s="523" t="s">
        <v>482</v>
      </c>
      <c r="P682" s="291"/>
      <c r="Q682" s="151"/>
      <c r="R682" s="281"/>
      <c r="S682" s="523"/>
      <c r="T682" s="523"/>
      <c r="U682" s="523" t="s">
        <v>482</v>
      </c>
      <c r="V682" s="291"/>
      <c r="W682" s="151"/>
      <c r="X682" s="281"/>
      <c r="Y682" s="523"/>
      <c r="Z682" s="523"/>
      <c r="AA682" s="523" t="s">
        <v>482</v>
      </c>
      <c r="AB682" s="291"/>
      <c r="AC682" s="151"/>
      <c r="AD682" s="529"/>
      <c r="AE682" s="523"/>
      <c r="AF682" s="523"/>
      <c r="AG682" s="523" t="s">
        <v>482</v>
      </c>
      <c r="AH682" s="291"/>
      <c r="AI682" s="523"/>
      <c r="AJ682" s="529"/>
      <c r="AK682" s="523"/>
      <c r="AL682" s="523"/>
      <c r="AM682" s="523" t="s">
        <v>482</v>
      </c>
      <c r="AN682" s="291"/>
      <c r="AO682" s="523"/>
      <c r="AP682" s="529"/>
      <c r="AQ682" s="631"/>
      <c r="AS682" s="278"/>
      <c r="AT682" s="278"/>
      <c r="AU682" s="278"/>
      <c r="AV682" s="278"/>
      <c r="AW682" s="278"/>
      <c r="AX682" s="278"/>
      <c r="AY682" s="278"/>
    </row>
    <row r="683" spans="1:51" ht="75">
      <c r="A683" s="637">
        <v>44</v>
      </c>
      <c r="B683" s="524" t="s">
        <v>987</v>
      </c>
      <c r="C683" s="699" t="s">
        <v>988</v>
      </c>
      <c r="D683" s="526" t="s">
        <v>989</v>
      </c>
      <c r="E683" s="527">
        <v>31.69</v>
      </c>
      <c r="F683" s="528">
        <v>175245.7</v>
      </c>
      <c r="G683" s="523"/>
      <c r="H683" s="523"/>
      <c r="I683" s="523" t="s">
        <v>482</v>
      </c>
      <c r="J683" s="150"/>
      <c r="K683" s="151"/>
      <c r="L683" s="281"/>
      <c r="M683" s="523"/>
      <c r="N683" s="523"/>
      <c r="O683" s="523" t="s">
        <v>482</v>
      </c>
      <c r="P683" s="291"/>
      <c r="Q683" s="151"/>
      <c r="R683" s="281"/>
      <c r="S683" s="523"/>
      <c r="T683" s="523"/>
      <c r="U683" s="523" t="s">
        <v>482</v>
      </c>
      <c r="V683" s="291"/>
      <c r="W683" s="151"/>
      <c r="X683" s="281"/>
      <c r="Y683" s="523"/>
      <c r="Z683" s="523"/>
      <c r="AA683" s="523" t="s">
        <v>482</v>
      </c>
      <c r="AB683" s="291"/>
      <c r="AC683" s="151"/>
      <c r="AD683" s="529"/>
      <c r="AE683" s="523"/>
      <c r="AF683" s="523"/>
      <c r="AG683" s="523" t="s">
        <v>482</v>
      </c>
      <c r="AH683" s="291"/>
      <c r="AI683" s="523"/>
      <c r="AJ683" s="529"/>
      <c r="AK683" s="523"/>
      <c r="AL683" s="523"/>
      <c r="AM683" s="523" t="s">
        <v>482</v>
      </c>
      <c r="AN683" s="291"/>
      <c r="AO683" s="523"/>
      <c r="AP683" s="529"/>
      <c r="AQ683" s="631"/>
      <c r="AS683" s="278"/>
      <c r="AT683" s="278"/>
      <c r="AU683" s="278"/>
      <c r="AV683" s="278"/>
      <c r="AW683" s="278"/>
      <c r="AX683" s="278"/>
      <c r="AY683" s="278"/>
    </row>
    <row r="684" spans="1:51" ht="30">
      <c r="A684" s="637">
        <v>45</v>
      </c>
      <c r="B684" s="524" t="s">
        <v>990</v>
      </c>
      <c r="C684" s="699" t="s">
        <v>991</v>
      </c>
      <c r="D684" s="526" t="s">
        <v>992</v>
      </c>
      <c r="E684" s="527">
        <v>6.4059999999999997</v>
      </c>
      <c r="F684" s="528">
        <v>38436</v>
      </c>
      <c r="G684" s="523"/>
      <c r="H684" s="523"/>
      <c r="I684" s="523" t="s">
        <v>482</v>
      </c>
      <c r="J684" s="150"/>
      <c r="K684" s="151"/>
      <c r="L684" s="281"/>
      <c r="M684" s="523"/>
      <c r="N684" s="523"/>
      <c r="O684" s="523" t="s">
        <v>482</v>
      </c>
      <c r="P684" s="291"/>
      <c r="Q684" s="151"/>
      <c r="R684" s="281"/>
      <c r="S684" s="523"/>
      <c r="T684" s="523"/>
      <c r="U684" s="523" t="s">
        <v>482</v>
      </c>
      <c r="V684" s="291"/>
      <c r="W684" s="151"/>
      <c r="X684" s="281"/>
      <c r="Y684" s="523"/>
      <c r="Z684" s="523"/>
      <c r="AA684" s="523" t="s">
        <v>482</v>
      </c>
      <c r="AB684" s="291"/>
      <c r="AC684" s="151"/>
      <c r="AD684" s="529"/>
      <c r="AE684" s="523"/>
      <c r="AF684" s="523"/>
      <c r="AG684" s="523" t="s">
        <v>482</v>
      </c>
      <c r="AH684" s="291"/>
      <c r="AI684" s="523"/>
      <c r="AJ684" s="529"/>
      <c r="AK684" s="523"/>
      <c r="AL684" s="523"/>
      <c r="AM684" s="523" t="s">
        <v>482</v>
      </c>
      <c r="AN684" s="291"/>
      <c r="AO684" s="523"/>
      <c r="AP684" s="529"/>
      <c r="AQ684" s="631"/>
      <c r="AS684" s="278"/>
      <c r="AT684" s="278"/>
      <c r="AU684" s="278"/>
      <c r="AV684" s="278"/>
      <c r="AW684" s="278"/>
      <c r="AX684" s="278"/>
      <c r="AY684" s="278"/>
    </row>
    <row r="685" spans="1:51" ht="30">
      <c r="A685" s="637">
        <v>46</v>
      </c>
      <c r="B685" s="524" t="s">
        <v>993</v>
      </c>
      <c r="C685" s="699" t="s">
        <v>983</v>
      </c>
      <c r="D685" s="526" t="s">
        <v>994</v>
      </c>
      <c r="E685" s="527">
        <v>2.569</v>
      </c>
      <c r="F685" s="528">
        <v>15414</v>
      </c>
      <c r="G685" s="523"/>
      <c r="H685" s="523"/>
      <c r="I685" s="523" t="s">
        <v>482</v>
      </c>
      <c r="J685" s="150"/>
      <c r="K685" s="151"/>
      <c r="L685" s="281"/>
      <c r="M685" s="523"/>
      <c r="N685" s="523"/>
      <c r="O685" s="523" t="s">
        <v>482</v>
      </c>
      <c r="P685" s="291"/>
      <c r="Q685" s="151"/>
      <c r="R685" s="281"/>
      <c r="S685" s="523"/>
      <c r="T685" s="523"/>
      <c r="U685" s="523" t="s">
        <v>482</v>
      </c>
      <c r="V685" s="291"/>
      <c r="W685" s="151"/>
      <c r="X685" s="281"/>
      <c r="Y685" s="523"/>
      <c r="Z685" s="523"/>
      <c r="AA685" s="523" t="s">
        <v>482</v>
      </c>
      <c r="AB685" s="291"/>
      <c r="AC685" s="151"/>
      <c r="AD685" s="529"/>
      <c r="AE685" s="523"/>
      <c r="AF685" s="523"/>
      <c r="AG685" s="523" t="s">
        <v>482</v>
      </c>
      <c r="AH685" s="291"/>
      <c r="AI685" s="523"/>
      <c r="AJ685" s="529"/>
      <c r="AK685" s="523"/>
      <c r="AL685" s="523"/>
      <c r="AM685" s="523" t="s">
        <v>482</v>
      </c>
      <c r="AN685" s="291"/>
      <c r="AO685" s="523"/>
      <c r="AP685" s="529"/>
      <c r="AQ685" s="631"/>
      <c r="AS685" s="278"/>
      <c r="AT685" s="278"/>
      <c r="AU685" s="278"/>
      <c r="AV685" s="278"/>
      <c r="AW685" s="278"/>
      <c r="AX685" s="278"/>
      <c r="AY685" s="278"/>
    </row>
    <row r="686" spans="1:51" ht="30">
      <c r="A686" s="637">
        <v>47</v>
      </c>
      <c r="B686" s="524" t="s">
        <v>995</v>
      </c>
      <c r="C686" s="700" t="s">
        <v>996</v>
      </c>
      <c r="D686" s="526" t="s">
        <v>860</v>
      </c>
      <c r="E686" s="527">
        <v>48.23</v>
      </c>
      <c r="F686" s="528">
        <v>361725</v>
      </c>
      <c r="G686" s="523"/>
      <c r="H686" s="523"/>
      <c r="I686" s="523" t="s">
        <v>482</v>
      </c>
      <c r="J686" s="150"/>
      <c r="K686" s="151"/>
      <c r="L686" s="281"/>
      <c r="M686" s="523"/>
      <c r="N686" s="523"/>
      <c r="O686" s="523" t="s">
        <v>482</v>
      </c>
      <c r="P686" s="291"/>
      <c r="Q686" s="151"/>
      <c r="R686" s="281"/>
      <c r="S686" s="523"/>
      <c r="T686" s="523"/>
      <c r="U686" s="523" t="s">
        <v>482</v>
      </c>
      <c r="V686" s="291"/>
      <c r="W686" s="151"/>
      <c r="X686" s="281"/>
      <c r="Y686" s="523"/>
      <c r="Z686" s="523"/>
      <c r="AA686" s="523" t="s">
        <v>482</v>
      </c>
      <c r="AB686" s="291"/>
      <c r="AC686" s="151"/>
      <c r="AD686" s="529"/>
      <c r="AE686" s="523"/>
      <c r="AF686" s="523"/>
      <c r="AG686" s="523"/>
      <c r="AH686" s="291"/>
      <c r="AI686" s="523"/>
      <c r="AJ686" s="529"/>
      <c r="AK686" s="523"/>
      <c r="AL686" s="523"/>
      <c r="AM686" s="523" t="s">
        <v>482</v>
      </c>
      <c r="AN686" s="291"/>
      <c r="AO686" s="523"/>
      <c r="AP686" s="529"/>
      <c r="AQ686" s="631"/>
      <c r="AS686" s="278"/>
      <c r="AT686" s="278"/>
      <c r="AU686" s="278"/>
      <c r="AV686" s="278"/>
      <c r="AW686" s="278"/>
      <c r="AX686" s="278"/>
      <c r="AY686" s="278"/>
    </row>
    <row r="687" spans="1:51" ht="30">
      <c r="A687" s="637">
        <v>48</v>
      </c>
      <c r="B687" s="524" t="s">
        <v>995</v>
      </c>
      <c r="C687" s="700" t="s">
        <v>997</v>
      </c>
      <c r="D687" s="526" t="s">
        <v>860</v>
      </c>
      <c r="E687" s="527">
        <v>20.663</v>
      </c>
      <c r="F687" s="528">
        <v>210525</v>
      </c>
      <c r="G687" s="523"/>
      <c r="H687" s="523"/>
      <c r="I687" s="523" t="s">
        <v>482</v>
      </c>
      <c r="J687" s="150"/>
      <c r="K687" s="151"/>
      <c r="L687" s="281"/>
      <c r="M687" s="523"/>
      <c r="N687" s="523"/>
      <c r="O687" s="523" t="s">
        <v>482</v>
      </c>
      <c r="P687" s="291"/>
      <c r="Q687" s="151"/>
      <c r="R687" s="281"/>
      <c r="S687" s="523"/>
      <c r="T687" s="523"/>
      <c r="U687" s="523" t="s">
        <v>482</v>
      </c>
      <c r="V687" s="291"/>
      <c r="W687" s="151"/>
      <c r="X687" s="281"/>
      <c r="Y687" s="523"/>
      <c r="Z687" s="523"/>
      <c r="AA687" s="523" t="s">
        <v>482</v>
      </c>
      <c r="AB687" s="291"/>
      <c r="AC687" s="151"/>
      <c r="AD687" s="529"/>
      <c r="AE687" s="523"/>
      <c r="AF687" s="523"/>
      <c r="AG687" s="523"/>
      <c r="AH687" s="291"/>
      <c r="AI687" s="523"/>
      <c r="AJ687" s="529"/>
      <c r="AK687" s="523"/>
      <c r="AL687" s="523"/>
      <c r="AM687" s="523" t="s">
        <v>482</v>
      </c>
      <c r="AN687" s="291"/>
      <c r="AO687" s="523"/>
      <c r="AP687" s="529"/>
      <c r="AQ687" s="631"/>
      <c r="AS687" s="278"/>
      <c r="AT687" s="278"/>
      <c r="AU687" s="278"/>
      <c r="AV687" s="278"/>
      <c r="AW687" s="278"/>
      <c r="AX687" s="278"/>
      <c r="AY687" s="278"/>
    </row>
    <row r="688" spans="1:51" ht="30">
      <c r="A688" s="637">
        <v>49</v>
      </c>
      <c r="B688" s="524" t="s">
        <v>995</v>
      </c>
      <c r="C688" s="700" t="s">
        <v>998</v>
      </c>
      <c r="D688" s="526" t="s">
        <v>860</v>
      </c>
      <c r="E688" s="527">
        <v>84.98</v>
      </c>
      <c r="F688" s="528">
        <v>624603</v>
      </c>
      <c r="G688" s="523"/>
      <c r="H688" s="523"/>
      <c r="I688" s="523" t="s">
        <v>482</v>
      </c>
      <c r="J688" s="150"/>
      <c r="K688" s="151"/>
      <c r="L688" s="281"/>
      <c r="M688" s="523"/>
      <c r="N688" s="523"/>
      <c r="O688" s="523" t="s">
        <v>482</v>
      </c>
      <c r="P688" s="291"/>
      <c r="Q688" s="151"/>
      <c r="R688" s="281"/>
      <c r="S688" s="523"/>
      <c r="T688" s="523"/>
      <c r="U688" s="523" t="s">
        <v>482</v>
      </c>
      <c r="V688" s="291"/>
      <c r="W688" s="151"/>
      <c r="X688" s="281"/>
      <c r="Y688" s="523"/>
      <c r="Z688" s="523"/>
      <c r="AA688" s="523" t="s">
        <v>482</v>
      </c>
      <c r="AB688" s="291"/>
      <c r="AC688" s="151"/>
      <c r="AD688" s="529"/>
      <c r="AE688" s="523"/>
      <c r="AF688" s="523"/>
      <c r="AG688" s="523"/>
      <c r="AH688" s="291"/>
      <c r="AI688" s="523"/>
      <c r="AJ688" s="529"/>
      <c r="AK688" s="523"/>
      <c r="AL688" s="523"/>
      <c r="AM688" s="523" t="s">
        <v>482</v>
      </c>
      <c r="AN688" s="291"/>
      <c r="AO688" s="523"/>
      <c r="AP688" s="529"/>
      <c r="AQ688" s="631"/>
      <c r="AS688" s="278"/>
      <c r="AT688" s="278"/>
      <c r="AU688" s="278"/>
      <c r="AV688" s="278"/>
      <c r="AW688" s="278"/>
      <c r="AX688" s="278"/>
      <c r="AY688" s="278"/>
    </row>
    <row r="689" spans="1:51" ht="45">
      <c r="A689" s="637">
        <v>50</v>
      </c>
      <c r="B689" s="524" t="s">
        <v>514</v>
      </c>
      <c r="C689" s="700" t="s">
        <v>999</v>
      </c>
      <c r="D689" s="526" t="s">
        <v>516</v>
      </c>
      <c r="E689" s="527">
        <v>7.1</v>
      </c>
      <c r="F689" s="528">
        <v>55238</v>
      </c>
      <c r="G689" s="523"/>
      <c r="H689" s="523"/>
      <c r="I689" s="523"/>
      <c r="J689" s="150"/>
      <c r="K689" s="151"/>
      <c r="L689" s="281"/>
      <c r="M689" s="523"/>
      <c r="N689" s="523"/>
      <c r="O689" s="523" t="s">
        <v>482</v>
      </c>
      <c r="P689" s="291"/>
      <c r="Q689" s="151"/>
      <c r="R689" s="281"/>
      <c r="S689" s="523"/>
      <c r="T689" s="523"/>
      <c r="U689" s="523" t="s">
        <v>482</v>
      </c>
      <c r="V689" s="291"/>
      <c r="W689" s="151"/>
      <c r="X689" s="281"/>
      <c r="Y689" s="523"/>
      <c r="Z689" s="523"/>
      <c r="AA689" s="523" t="s">
        <v>482</v>
      </c>
      <c r="AB689" s="291"/>
      <c r="AC689" s="151"/>
      <c r="AD689" s="529"/>
      <c r="AE689" s="523"/>
      <c r="AF689" s="523"/>
      <c r="AG689" s="523" t="s">
        <v>482</v>
      </c>
      <c r="AH689" s="291"/>
      <c r="AI689" s="523"/>
      <c r="AJ689" s="529"/>
      <c r="AK689" s="523"/>
      <c r="AL689" s="523"/>
      <c r="AM689" s="523" t="s">
        <v>482</v>
      </c>
      <c r="AN689" s="291"/>
      <c r="AO689" s="523"/>
      <c r="AP689" s="529"/>
      <c r="AQ689" s="631"/>
      <c r="AS689" s="278"/>
      <c r="AT689" s="278"/>
      <c r="AU689" s="278"/>
      <c r="AV689" s="278"/>
      <c r="AW689" s="278"/>
      <c r="AX689" s="278"/>
      <c r="AY689" s="278"/>
    </row>
    <row r="690" spans="1:51" ht="36.75" customHeight="1">
      <c r="A690" s="637">
        <v>51</v>
      </c>
      <c r="B690" s="524" t="s">
        <v>987</v>
      </c>
      <c r="C690" s="699" t="s">
        <v>988</v>
      </c>
      <c r="D690" s="526" t="s">
        <v>1000</v>
      </c>
      <c r="E690" s="527">
        <v>2.4700000000000002</v>
      </c>
      <c r="F690" s="528">
        <v>17290</v>
      </c>
      <c r="G690" s="154"/>
      <c r="H690" s="154"/>
      <c r="I690" s="154"/>
      <c r="J690" s="156"/>
      <c r="K690" s="155"/>
      <c r="L690" s="282"/>
      <c r="M690" s="523"/>
      <c r="N690" s="523"/>
      <c r="O690" s="523" t="s">
        <v>482</v>
      </c>
      <c r="P690" s="291"/>
      <c r="Q690" s="151"/>
      <c r="R690" s="281"/>
      <c r="S690" s="523"/>
      <c r="T690" s="523"/>
      <c r="U690" s="523" t="s">
        <v>482</v>
      </c>
      <c r="V690" s="291"/>
      <c r="W690" s="151"/>
      <c r="X690" s="281"/>
      <c r="Y690" s="523"/>
      <c r="Z690" s="523"/>
      <c r="AA690" s="523" t="s">
        <v>482</v>
      </c>
      <c r="AB690" s="291"/>
      <c r="AC690" s="151"/>
      <c r="AD690" s="529"/>
      <c r="AE690" s="523"/>
      <c r="AF690" s="523"/>
      <c r="AG690" s="523" t="s">
        <v>482</v>
      </c>
      <c r="AH690" s="291"/>
      <c r="AI690" s="523"/>
      <c r="AJ690" s="529"/>
      <c r="AK690" s="523"/>
      <c r="AL690" s="523"/>
      <c r="AM690" s="523" t="s">
        <v>482</v>
      </c>
      <c r="AN690" s="291"/>
      <c r="AO690" s="523"/>
      <c r="AP690" s="529"/>
      <c r="AQ690" s="631"/>
      <c r="AS690" s="278"/>
      <c r="AT690" s="278"/>
      <c r="AU690" s="278"/>
      <c r="AV690" s="278"/>
      <c r="AW690" s="278"/>
      <c r="AX690" s="278"/>
      <c r="AY690" s="278"/>
    </row>
    <row r="691" spans="1:51" ht="36.75" customHeight="1">
      <c r="A691" s="637">
        <v>52</v>
      </c>
      <c r="B691" s="524" t="s">
        <v>1001</v>
      </c>
      <c r="C691" s="699" t="s">
        <v>1002</v>
      </c>
      <c r="D691" s="526" t="s">
        <v>1003</v>
      </c>
      <c r="E691" s="527">
        <v>30.35</v>
      </c>
      <c r="F691" s="528">
        <v>196061</v>
      </c>
      <c r="G691" s="523"/>
      <c r="H691" s="523"/>
      <c r="I691" s="523"/>
      <c r="J691" s="150"/>
      <c r="K691" s="151"/>
      <c r="L691" s="281"/>
      <c r="M691" s="523"/>
      <c r="N691" s="523"/>
      <c r="O691" s="523" t="s">
        <v>482</v>
      </c>
      <c r="P691" s="291"/>
      <c r="Q691" s="151"/>
      <c r="R691" s="281"/>
      <c r="S691" s="523"/>
      <c r="T691" s="523"/>
      <c r="U691" s="523" t="s">
        <v>482</v>
      </c>
      <c r="V691" s="291"/>
      <c r="W691" s="151"/>
      <c r="X691" s="281"/>
      <c r="Y691" s="523"/>
      <c r="Z691" s="523"/>
      <c r="AA691" s="523" t="s">
        <v>482</v>
      </c>
      <c r="AB691" s="291"/>
      <c r="AC691" s="151"/>
      <c r="AD691" s="529"/>
      <c r="AE691" s="523"/>
      <c r="AF691" s="523"/>
      <c r="AG691" s="523" t="s">
        <v>482</v>
      </c>
      <c r="AH691" s="291"/>
      <c r="AI691" s="523"/>
      <c r="AJ691" s="529"/>
      <c r="AK691" s="523"/>
      <c r="AL691" s="523"/>
      <c r="AM691" s="523" t="s">
        <v>482</v>
      </c>
      <c r="AN691" s="291"/>
      <c r="AO691" s="523"/>
      <c r="AP691" s="529"/>
      <c r="AQ691" s="631"/>
      <c r="AS691" s="278"/>
      <c r="AT691" s="278"/>
      <c r="AU691" s="278"/>
      <c r="AV691" s="278"/>
      <c r="AW691" s="278"/>
      <c r="AX691" s="278"/>
      <c r="AY691" s="278"/>
    </row>
    <row r="692" spans="1:51" ht="36.75" customHeight="1">
      <c r="A692" s="637">
        <v>53</v>
      </c>
      <c r="B692" s="524" t="s">
        <v>1004</v>
      </c>
      <c r="C692" s="699" t="s">
        <v>1005</v>
      </c>
      <c r="D692" s="526" t="s">
        <v>1006</v>
      </c>
      <c r="E692" s="527">
        <v>27.9</v>
      </c>
      <c r="F692" s="528">
        <v>183303</v>
      </c>
      <c r="G692" s="523"/>
      <c r="H692" s="523"/>
      <c r="I692" s="523"/>
      <c r="J692" s="150"/>
      <c r="K692" s="151"/>
      <c r="L692" s="281"/>
      <c r="M692" s="523"/>
      <c r="N692" s="523"/>
      <c r="O692" s="523" t="s">
        <v>482</v>
      </c>
      <c r="P692" s="291"/>
      <c r="Q692" s="151"/>
      <c r="R692" s="281"/>
      <c r="S692" s="523"/>
      <c r="T692" s="523"/>
      <c r="U692" s="523" t="s">
        <v>482</v>
      </c>
      <c r="V692" s="291"/>
      <c r="W692" s="151"/>
      <c r="X692" s="281"/>
      <c r="Y692" s="523"/>
      <c r="Z692" s="523"/>
      <c r="AA692" s="523" t="s">
        <v>482</v>
      </c>
      <c r="AB692" s="291"/>
      <c r="AC692" s="151"/>
      <c r="AD692" s="529"/>
      <c r="AE692" s="523"/>
      <c r="AF692" s="523"/>
      <c r="AG692" s="523" t="s">
        <v>482</v>
      </c>
      <c r="AH692" s="291"/>
      <c r="AI692" s="523"/>
      <c r="AJ692" s="529"/>
      <c r="AK692" s="523"/>
      <c r="AL692" s="523"/>
      <c r="AM692" s="523" t="s">
        <v>482</v>
      </c>
      <c r="AN692" s="291"/>
      <c r="AO692" s="523"/>
      <c r="AP692" s="529"/>
      <c r="AQ692" s="631"/>
      <c r="AS692" s="278"/>
      <c r="AT692" s="278"/>
      <c r="AU692" s="278"/>
      <c r="AV692" s="278"/>
      <c r="AW692" s="278"/>
      <c r="AX692" s="278"/>
      <c r="AY692" s="278"/>
    </row>
    <row r="693" spans="1:51" ht="36.75" customHeight="1">
      <c r="A693" s="637">
        <v>54</v>
      </c>
      <c r="B693" s="524" t="s">
        <v>1007</v>
      </c>
      <c r="C693" s="699" t="s">
        <v>1008</v>
      </c>
      <c r="D693" s="526" t="s">
        <v>1009</v>
      </c>
      <c r="E693" s="527">
        <v>17.559999999999999</v>
      </c>
      <c r="F693" s="528">
        <v>105360</v>
      </c>
      <c r="G693" s="523"/>
      <c r="H693" s="523"/>
      <c r="I693" s="523"/>
      <c r="J693" s="150"/>
      <c r="K693" s="151"/>
      <c r="L693" s="281"/>
      <c r="M693" s="523"/>
      <c r="N693" s="523"/>
      <c r="O693" s="523" t="s">
        <v>482</v>
      </c>
      <c r="P693" s="291"/>
      <c r="Q693" s="151"/>
      <c r="R693" s="281"/>
      <c r="S693" s="523"/>
      <c r="T693" s="523"/>
      <c r="U693" s="523" t="s">
        <v>482</v>
      </c>
      <c r="V693" s="291"/>
      <c r="W693" s="151"/>
      <c r="X693" s="281"/>
      <c r="Y693" s="523"/>
      <c r="Z693" s="523"/>
      <c r="AA693" s="523" t="s">
        <v>482</v>
      </c>
      <c r="AB693" s="291"/>
      <c r="AC693" s="151"/>
      <c r="AD693" s="529"/>
      <c r="AE693" s="523"/>
      <c r="AF693" s="523"/>
      <c r="AG693" s="523" t="s">
        <v>482</v>
      </c>
      <c r="AH693" s="291"/>
      <c r="AI693" s="523"/>
      <c r="AJ693" s="529"/>
      <c r="AK693" s="523"/>
      <c r="AL693" s="523"/>
      <c r="AM693" s="523" t="s">
        <v>482</v>
      </c>
      <c r="AN693" s="291"/>
      <c r="AO693" s="523"/>
      <c r="AP693" s="529"/>
      <c r="AQ693" s="631"/>
      <c r="AS693" s="278"/>
      <c r="AT693" s="278"/>
      <c r="AU693" s="278"/>
      <c r="AV693" s="278"/>
      <c r="AW693" s="278"/>
      <c r="AX693" s="278"/>
      <c r="AY693" s="278"/>
    </row>
    <row r="694" spans="1:51" ht="36.75" customHeight="1">
      <c r="A694" s="637">
        <v>55</v>
      </c>
      <c r="B694" s="524" t="s">
        <v>1010</v>
      </c>
      <c r="C694" s="699" t="s">
        <v>1011</v>
      </c>
      <c r="D694" s="526" t="s">
        <v>1012</v>
      </c>
      <c r="E694" s="527">
        <v>29.7</v>
      </c>
      <c r="F694" s="528">
        <v>196911</v>
      </c>
      <c r="G694" s="523"/>
      <c r="H694" s="523"/>
      <c r="I694" s="523"/>
      <c r="J694" s="150"/>
      <c r="K694" s="151"/>
      <c r="L694" s="281"/>
      <c r="M694" s="523"/>
      <c r="N694" s="523"/>
      <c r="O694" s="523" t="s">
        <v>482</v>
      </c>
      <c r="P694" s="291"/>
      <c r="Q694" s="151"/>
      <c r="R694" s="281"/>
      <c r="S694" s="523"/>
      <c r="T694" s="523"/>
      <c r="U694" s="523" t="s">
        <v>482</v>
      </c>
      <c r="V694" s="291"/>
      <c r="W694" s="151"/>
      <c r="X694" s="281"/>
      <c r="Y694" s="523"/>
      <c r="Z694" s="523"/>
      <c r="AA694" s="523" t="s">
        <v>482</v>
      </c>
      <c r="AB694" s="291"/>
      <c r="AC694" s="151"/>
      <c r="AD694" s="529"/>
      <c r="AE694" s="523"/>
      <c r="AF694" s="523"/>
      <c r="AG694" s="523" t="s">
        <v>482</v>
      </c>
      <c r="AH694" s="291"/>
      <c r="AI694" s="523"/>
      <c r="AJ694" s="529"/>
      <c r="AK694" s="523"/>
      <c r="AL694" s="523"/>
      <c r="AM694" s="523" t="s">
        <v>482</v>
      </c>
      <c r="AN694" s="291"/>
      <c r="AO694" s="523"/>
      <c r="AP694" s="529"/>
      <c r="AQ694" s="631"/>
      <c r="AS694" s="278"/>
      <c r="AT694" s="278"/>
      <c r="AU694" s="278"/>
      <c r="AV694" s="278"/>
      <c r="AW694" s="278"/>
      <c r="AX694" s="278"/>
      <c r="AY694" s="278"/>
    </row>
    <row r="695" spans="1:51" ht="27" customHeight="1">
      <c r="A695" s="637">
        <v>56</v>
      </c>
      <c r="B695" s="524" t="s">
        <v>1013</v>
      </c>
      <c r="C695" s="700" t="s">
        <v>1014</v>
      </c>
      <c r="D695" s="526" t="s">
        <v>1015</v>
      </c>
      <c r="E695" s="527">
        <v>8.7200000000000006</v>
      </c>
      <c r="F695" s="528">
        <v>52320</v>
      </c>
      <c r="G695" s="523"/>
      <c r="H695" s="523"/>
      <c r="I695" s="523"/>
      <c r="J695" s="150"/>
      <c r="K695" s="151"/>
      <c r="L695" s="281"/>
      <c r="M695" s="523"/>
      <c r="N695" s="523"/>
      <c r="O695" s="523" t="s">
        <v>482</v>
      </c>
      <c r="P695" s="291"/>
      <c r="Q695" s="151"/>
      <c r="R695" s="281"/>
      <c r="S695" s="523"/>
      <c r="T695" s="523"/>
      <c r="U695" s="523" t="s">
        <v>482</v>
      </c>
      <c r="V695" s="291"/>
      <c r="W695" s="151"/>
      <c r="X695" s="281"/>
      <c r="Y695" s="523"/>
      <c r="Z695" s="523"/>
      <c r="AA695" s="523" t="s">
        <v>482</v>
      </c>
      <c r="AB695" s="291"/>
      <c r="AC695" s="151"/>
      <c r="AD695" s="529"/>
      <c r="AE695" s="523"/>
      <c r="AF695" s="523"/>
      <c r="AG695" s="523" t="s">
        <v>482</v>
      </c>
      <c r="AH695" s="291"/>
      <c r="AI695" s="523"/>
      <c r="AJ695" s="529"/>
      <c r="AK695" s="523"/>
      <c r="AL695" s="523"/>
      <c r="AM695" s="523" t="s">
        <v>482</v>
      </c>
      <c r="AN695" s="291"/>
      <c r="AO695" s="523"/>
      <c r="AP695" s="529"/>
      <c r="AQ695" s="631"/>
      <c r="AS695" s="278"/>
      <c r="AT695" s="278"/>
      <c r="AU695" s="278"/>
      <c r="AV695" s="278"/>
      <c r="AW695" s="278"/>
      <c r="AX695" s="278"/>
      <c r="AY695" s="278"/>
    </row>
    <row r="696" spans="1:51" ht="27" customHeight="1">
      <c r="A696" s="637">
        <v>57</v>
      </c>
      <c r="B696" s="524" t="s">
        <v>1016</v>
      </c>
      <c r="C696" s="699" t="s">
        <v>1017</v>
      </c>
      <c r="D696" s="526" t="s">
        <v>1018</v>
      </c>
      <c r="E696" s="527">
        <v>4.8499999999999996</v>
      </c>
      <c r="F696" s="528">
        <v>29100</v>
      </c>
      <c r="G696" s="523"/>
      <c r="H696" s="523"/>
      <c r="I696" s="523"/>
      <c r="J696" s="150"/>
      <c r="K696" s="151"/>
      <c r="L696" s="281"/>
      <c r="M696" s="523"/>
      <c r="N696" s="523"/>
      <c r="O696" s="523" t="s">
        <v>482</v>
      </c>
      <c r="P696" s="291"/>
      <c r="Q696" s="151"/>
      <c r="R696" s="281"/>
      <c r="S696" s="523"/>
      <c r="T696" s="523"/>
      <c r="U696" s="523" t="s">
        <v>482</v>
      </c>
      <c r="V696" s="291"/>
      <c r="W696" s="151"/>
      <c r="X696" s="281"/>
      <c r="Y696" s="523"/>
      <c r="Z696" s="523"/>
      <c r="AA696" s="523" t="s">
        <v>482</v>
      </c>
      <c r="AB696" s="291"/>
      <c r="AC696" s="151"/>
      <c r="AD696" s="529"/>
      <c r="AE696" s="523"/>
      <c r="AF696" s="523"/>
      <c r="AG696" s="523" t="s">
        <v>482</v>
      </c>
      <c r="AH696" s="291"/>
      <c r="AI696" s="523"/>
      <c r="AJ696" s="529"/>
      <c r="AK696" s="523"/>
      <c r="AL696" s="523"/>
      <c r="AM696" s="523" t="s">
        <v>482</v>
      </c>
      <c r="AN696" s="291"/>
      <c r="AO696" s="523"/>
      <c r="AP696" s="529"/>
      <c r="AQ696" s="631"/>
      <c r="AS696" s="278"/>
      <c r="AT696" s="278"/>
      <c r="AU696" s="278"/>
      <c r="AV696" s="278"/>
      <c r="AW696" s="278"/>
      <c r="AX696" s="278"/>
      <c r="AY696" s="278"/>
    </row>
    <row r="697" spans="1:51" ht="27" customHeight="1">
      <c r="A697" s="637">
        <v>58</v>
      </c>
      <c r="B697" s="524" t="s">
        <v>1019</v>
      </c>
      <c r="C697" s="699" t="s">
        <v>1020</v>
      </c>
      <c r="D697" s="526" t="s">
        <v>1021</v>
      </c>
      <c r="E697" s="527">
        <v>3.61</v>
      </c>
      <c r="F697" s="528">
        <v>21660</v>
      </c>
      <c r="G697" s="523"/>
      <c r="H697" s="523"/>
      <c r="I697" s="523"/>
      <c r="J697" s="150"/>
      <c r="K697" s="151"/>
      <c r="L697" s="281"/>
      <c r="M697" s="523"/>
      <c r="N697" s="523"/>
      <c r="O697" s="523" t="s">
        <v>482</v>
      </c>
      <c r="P697" s="291"/>
      <c r="Q697" s="151"/>
      <c r="R697" s="281"/>
      <c r="S697" s="523"/>
      <c r="T697" s="523"/>
      <c r="U697" s="523" t="s">
        <v>482</v>
      </c>
      <c r="V697" s="291"/>
      <c r="W697" s="151"/>
      <c r="X697" s="281"/>
      <c r="Y697" s="523"/>
      <c r="Z697" s="523"/>
      <c r="AA697" s="523" t="s">
        <v>482</v>
      </c>
      <c r="AB697" s="291"/>
      <c r="AC697" s="151"/>
      <c r="AD697" s="529"/>
      <c r="AE697" s="523"/>
      <c r="AF697" s="523"/>
      <c r="AG697" s="523" t="s">
        <v>482</v>
      </c>
      <c r="AH697" s="291"/>
      <c r="AI697" s="523"/>
      <c r="AJ697" s="529"/>
      <c r="AK697" s="523"/>
      <c r="AL697" s="523"/>
      <c r="AM697" s="523" t="s">
        <v>482</v>
      </c>
      <c r="AN697" s="291"/>
      <c r="AO697" s="523"/>
      <c r="AP697" s="529"/>
      <c r="AQ697" s="631"/>
      <c r="AS697" s="278"/>
      <c r="AT697" s="278"/>
      <c r="AU697" s="278"/>
      <c r="AV697" s="278"/>
      <c r="AW697" s="278"/>
      <c r="AX697" s="278"/>
      <c r="AY697" s="278"/>
    </row>
    <row r="698" spans="1:51" ht="36.75" customHeight="1">
      <c r="A698" s="637">
        <v>59</v>
      </c>
      <c r="B698" s="524" t="s">
        <v>1022</v>
      </c>
      <c r="C698" s="699" t="s">
        <v>1023</v>
      </c>
      <c r="D698" s="526" t="s">
        <v>1024</v>
      </c>
      <c r="E698" s="527">
        <v>3.6850000000000001</v>
      </c>
      <c r="F698" s="528">
        <v>20267.5</v>
      </c>
      <c r="G698" s="523"/>
      <c r="H698" s="523"/>
      <c r="I698" s="523"/>
      <c r="J698" s="150"/>
      <c r="K698" s="151"/>
      <c r="L698" s="281"/>
      <c r="M698" s="523"/>
      <c r="N698" s="523"/>
      <c r="O698" s="523" t="s">
        <v>482</v>
      </c>
      <c r="P698" s="291"/>
      <c r="Q698" s="151"/>
      <c r="R698" s="281"/>
      <c r="S698" s="523"/>
      <c r="T698" s="523"/>
      <c r="U698" s="523" t="s">
        <v>482</v>
      </c>
      <c r="V698" s="291"/>
      <c r="W698" s="151"/>
      <c r="X698" s="281"/>
      <c r="Y698" s="523"/>
      <c r="Z698" s="523"/>
      <c r="AA698" s="523"/>
      <c r="AB698" s="291"/>
      <c r="AC698" s="151"/>
      <c r="AD698" s="529"/>
      <c r="AE698" s="523"/>
      <c r="AF698" s="523"/>
      <c r="AG698" s="523" t="s">
        <v>482</v>
      </c>
      <c r="AH698" s="291"/>
      <c r="AI698" s="523"/>
      <c r="AJ698" s="529"/>
      <c r="AK698" s="523"/>
      <c r="AL698" s="523"/>
      <c r="AM698" s="523" t="s">
        <v>482</v>
      </c>
      <c r="AN698" s="291"/>
      <c r="AO698" s="523"/>
      <c r="AP698" s="529"/>
      <c r="AQ698" s="631"/>
      <c r="AS698" s="278"/>
      <c r="AT698" s="278"/>
      <c r="AU698" s="278"/>
      <c r="AV698" s="278"/>
      <c r="AW698" s="278"/>
      <c r="AX698" s="278"/>
      <c r="AY698" s="278"/>
    </row>
    <row r="699" spans="1:51" ht="36.75" customHeight="1">
      <c r="A699" s="637">
        <v>60</v>
      </c>
      <c r="B699" s="524" t="s">
        <v>1025</v>
      </c>
      <c r="C699" s="699" t="s">
        <v>1026</v>
      </c>
      <c r="D699" s="526" t="s">
        <v>1027</v>
      </c>
      <c r="E699" s="527">
        <v>0.52700000000000002</v>
      </c>
      <c r="F699" s="528">
        <v>3162</v>
      </c>
      <c r="G699" s="523"/>
      <c r="H699" s="523"/>
      <c r="I699" s="523"/>
      <c r="J699" s="150"/>
      <c r="K699" s="151"/>
      <c r="L699" s="281"/>
      <c r="M699" s="523"/>
      <c r="N699" s="523"/>
      <c r="O699" s="523" t="s">
        <v>482</v>
      </c>
      <c r="P699" s="291"/>
      <c r="Q699" s="151"/>
      <c r="R699" s="281"/>
      <c r="S699" s="523"/>
      <c r="T699" s="523"/>
      <c r="U699" s="523" t="s">
        <v>482</v>
      </c>
      <c r="V699" s="291"/>
      <c r="W699" s="151"/>
      <c r="X699" s="281"/>
      <c r="Y699" s="523"/>
      <c r="Z699" s="523"/>
      <c r="AA699" s="523"/>
      <c r="AB699" s="291"/>
      <c r="AC699" s="151"/>
      <c r="AD699" s="529"/>
      <c r="AE699" s="523"/>
      <c r="AF699" s="523"/>
      <c r="AG699" s="523" t="s">
        <v>482</v>
      </c>
      <c r="AH699" s="291"/>
      <c r="AI699" s="523"/>
      <c r="AJ699" s="529"/>
      <c r="AK699" s="523"/>
      <c r="AL699" s="523"/>
      <c r="AM699" s="523" t="s">
        <v>482</v>
      </c>
      <c r="AN699" s="291"/>
      <c r="AO699" s="523"/>
      <c r="AP699" s="529"/>
      <c r="AQ699" s="631"/>
      <c r="AS699" s="278"/>
      <c r="AT699" s="278"/>
      <c r="AU699" s="278"/>
      <c r="AV699" s="278"/>
      <c r="AW699" s="278"/>
      <c r="AX699" s="278"/>
      <c r="AY699" s="278"/>
    </row>
    <row r="700" spans="1:51" ht="36.75" customHeight="1">
      <c r="A700" s="637">
        <v>61</v>
      </c>
      <c r="B700" s="524" t="s">
        <v>1028</v>
      </c>
      <c r="C700" s="699" t="s">
        <v>1029</v>
      </c>
      <c r="D700" s="526" t="s">
        <v>1030</v>
      </c>
      <c r="E700" s="527">
        <v>2.0699999999999998</v>
      </c>
      <c r="F700" s="528">
        <v>16560</v>
      </c>
      <c r="G700" s="523"/>
      <c r="H700" s="523"/>
      <c r="I700" s="523"/>
      <c r="J700" s="150"/>
      <c r="K700" s="151"/>
      <c r="L700" s="281"/>
      <c r="M700" s="523"/>
      <c r="N700" s="523"/>
      <c r="O700" s="523" t="s">
        <v>482</v>
      </c>
      <c r="P700" s="291"/>
      <c r="Q700" s="151"/>
      <c r="R700" s="281"/>
      <c r="S700" s="523"/>
      <c r="T700" s="523"/>
      <c r="U700" s="523" t="s">
        <v>482</v>
      </c>
      <c r="V700" s="291"/>
      <c r="W700" s="151"/>
      <c r="X700" s="281"/>
      <c r="Y700" s="523"/>
      <c r="Z700" s="523"/>
      <c r="AA700" s="523" t="s">
        <v>482</v>
      </c>
      <c r="AB700" s="291"/>
      <c r="AC700" s="151"/>
      <c r="AD700" s="529"/>
      <c r="AE700" s="523"/>
      <c r="AF700" s="523"/>
      <c r="AG700" s="523" t="s">
        <v>482</v>
      </c>
      <c r="AH700" s="291"/>
      <c r="AI700" s="523"/>
      <c r="AJ700" s="529"/>
      <c r="AK700" s="523"/>
      <c r="AL700" s="523"/>
      <c r="AM700" s="523" t="s">
        <v>482</v>
      </c>
      <c r="AN700" s="291"/>
      <c r="AO700" s="523"/>
      <c r="AP700" s="529"/>
      <c r="AQ700" s="631"/>
      <c r="AS700" s="278"/>
      <c r="AT700" s="278"/>
      <c r="AU700" s="278"/>
      <c r="AV700" s="278"/>
      <c r="AW700" s="278"/>
      <c r="AX700" s="278"/>
      <c r="AY700" s="278"/>
    </row>
    <row r="701" spans="1:51" ht="30">
      <c r="A701" s="637">
        <v>62</v>
      </c>
      <c r="B701" s="524">
        <v>805476</v>
      </c>
      <c r="C701" s="699" t="s">
        <v>1031</v>
      </c>
      <c r="D701" s="526" t="s">
        <v>1032</v>
      </c>
      <c r="E701" s="527">
        <v>8.25</v>
      </c>
      <c r="F701" s="528">
        <v>49500</v>
      </c>
      <c r="G701" s="523"/>
      <c r="H701" s="523"/>
      <c r="I701" s="523"/>
      <c r="J701" s="150"/>
      <c r="K701" s="151"/>
      <c r="L701" s="281"/>
      <c r="M701" s="523"/>
      <c r="N701" s="523"/>
      <c r="O701" s="523" t="s">
        <v>482</v>
      </c>
      <c r="P701" s="291"/>
      <c r="Q701" s="151"/>
      <c r="R701" s="281"/>
      <c r="S701" s="523"/>
      <c r="T701" s="523"/>
      <c r="U701" s="523" t="s">
        <v>482</v>
      </c>
      <c r="V701" s="291"/>
      <c r="W701" s="151"/>
      <c r="X701" s="281"/>
      <c r="Y701" s="523"/>
      <c r="Z701" s="523"/>
      <c r="AA701" s="523" t="s">
        <v>482</v>
      </c>
      <c r="AB701" s="291"/>
      <c r="AC701" s="151"/>
      <c r="AD701" s="529"/>
      <c r="AE701" s="523"/>
      <c r="AF701" s="523"/>
      <c r="AG701" s="523" t="s">
        <v>482</v>
      </c>
      <c r="AH701" s="291"/>
      <c r="AI701" s="523"/>
      <c r="AJ701" s="529"/>
      <c r="AK701" s="523"/>
      <c r="AL701" s="523"/>
      <c r="AM701" s="523" t="s">
        <v>482</v>
      </c>
      <c r="AN701" s="291"/>
      <c r="AO701" s="523"/>
      <c r="AP701" s="529"/>
      <c r="AQ701" s="631"/>
      <c r="AS701" s="278"/>
      <c r="AT701" s="278"/>
      <c r="AU701" s="278"/>
      <c r="AV701" s="278"/>
      <c r="AW701" s="278"/>
      <c r="AX701" s="278"/>
      <c r="AY701" s="278"/>
    </row>
    <row r="702" spans="1:51" ht="27" customHeight="1">
      <c r="A702" s="637">
        <v>63</v>
      </c>
      <c r="B702" s="524" t="s">
        <v>1033</v>
      </c>
      <c r="C702" s="699" t="s">
        <v>1034</v>
      </c>
      <c r="D702" s="526" t="s">
        <v>1035</v>
      </c>
      <c r="E702" s="527">
        <v>11.423</v>
      </c>
      <c r="F702" s="528">
        <v>74249.5</v>
      </c>
      <c r="G702" s="523"/>
      <c r="H702" s="523"/>
      <c r="I702" s="523"/>
      <c r="J702" s="150"/>
      <c r="K702" s="151"/>
      <c r="L702" s="281"/>
      <c r="M702" s="523"/>
      <c r="N702" s="523"/>
      <c r="O702" s="523" t="s">
        <v>482</v>
      </c>
      <c r="P702" s="291"/>
      <c r="Q702" s="151"/>
      <c r="R702" s="281"/>
      <c r="S702" s="523"/>
      <c r="T702" s="523"/>
      <c r="U702" s="523" t="s">
        <v>482</v>
      </c>
      <c r="V702" s="291"/>
      <c r="W702" s="151"/>
      <c r="X702" s="281"/>
      <c r="Y702" s="523"/>
      <c r="Z702" s="523"/>
      <c r="AA702" s="523" t="s">
        <v>482</v>
      </c>
      <c r="AB702" s="291"/>
      <c r="AC702" s="151"/>
      <c r="AD702" s="529"/>
      <c r="AE702" s="523"/>
      <c r="AF702" s="523"/>
      <c r="AG702" s="523" t="s">
        <v>482</v>
      </c>
      <c r="AH702" s="291"/>
      <c r="AI702" s="523"/>
      <c r="AJ702" s="529"/>
      <c r="AK702" s="523"/>
      <c r="AL702" s="523"/>
      <c r="AM702" s="523" t="s">
        <v>482</v>
      </c>
      <c r="AN702" s="291"/>
      <c r="AO702" s="523"/>
      <c r="AP702" s="529"/>
      <c r="AQ702" s="631"/>
      <c r="AS702" s="278"/>
      <c r="AT702" s="278"/>
      <c r="AU702" s="278"/>
      <c r="AV702" s="278"/>
      <c r="AW702" s="278"/>
      <c r="AX702" s="278"/>
      <c r="AY702" s="278"/>
    </row>
    <row r="703" spans="1:51" ht="27" customHeight="1">
      <c r="A703" s="637">
        <v>64</v>
      </c>
      <c r="B703" s="524" t="s">
        <v>1036</v>
      </c>
      <c r="C703" s="699" t="s">
        <v>1037</v>
      </c>
      <c r="D703" s="526" t="s">
        <v>1038</v>
      </c>
      <c r="E703" s="527">
        <v>34.561999999999998</v>
      </c>
      <c r="F703" s="528">
        <v>217740.6</v>
      </c>
      <c r="G703" s="523"/>
      <c r="H703" s="523"/>
      <c r="I703" s="523"/>
      <c r="J703" s="150"/>
      <c r="K703" s="151"/>
      <c r="L703" s="281"/>
      <c r="M703" s="523"/>
      <c r="N703" s="523"/>
      <c r="O703" s="523" t="s">
        <v>482</v>
      </c>
      <c r="P703" s="291"/>
      <c r="Q703" s="151"/>
      <c r="R703" s="281"/>
      <c r="S703" s="523"/>
      <c r="T703" s="523"/>
      <c r="U703" s="523" t="s">
        <v>482</v>
      </c>
      <c r="V703" s="291"/>
      <c r="W703" s="151"/>
      <c r="X703" s="281"/>
      <c r="Y703" s="523"/>
      <c r="Z703" s="523"/>
      <c r="AA703" s="523" t="s">
        <v>482</v>
      </c>
      <c r="AB703" s="291"/>
      <c r="AC703" s="151"/>
      <c r="AD703" s="529"/>
      <c r="AE703" s="523"/>
      <c r="AF703" s="523"/>
      <c r="AG703" s="523" t="s">
        <v>482</v>
      </c>
      <c r="AH703" s="291"/>
      <c r="AI703" s="523"/>
      <c r="AJ703" s="529"/>
      <c r="AK703" s="523"/>
      <c r="AL703" s="523"/>
      <c r="AM703" s="523" t="s">
        <v>482</v>
      </c>
      <c r="AN703" s="291"/>
      <c r="AO703" s="523"/>
      <c r="AP703" s="529"/>
      <c r="AQ703" s="631"/>
      <c r="AS703" s="278"/>
      <c r="AT703" s="278"/>
      <c r="AU703" s="278"/>
      <c r="AV703" s="278"/>
      <c r="AW703" s="278"/>
      <c r="AX703" s="278"/>
      <c r="AY703" s="278"/>
    </row>
    <row r="704" spans="1:51" ht="30">
      <c r="A704" s="637">
        <v>65</v>
      </c>
      <c r="B704" s="524" t="s">
        <v>1039</v>
      </c>
      <c r="C704" s="699" t="s">
        <v>1040</v>
      </c>
      <c r="D704" s="526" t="s">
        <v>1041</v>
      </c>
      <c r="E704" s="527">
        <v>23.373000000000001</v>
      </c>
      <c r="F704" s="528">
        <v>140238</v>
      </c>
      <c r="G704" s="523"/>
      <c r="H704" s="523"/>
      <c r="I704" s="523"/>
      <c r="J704" s="150"/>
      <c r="K704" s="151"/>
      <c r="L704" s="281"/>
      <c r="M704" s="523"/>
      <c r="N704" s="523"/>
      <c r="O704" s="523" t="s">
        <v>482</v>
      </c>
      <c r="P704" s="291"/>
      <c r="Q704" s="151"/>
      <c r="R704" s="281"/>
      <c r="S704" s="523"/>
      <c r="T704" s="523"/>
      <c r="U704" s="523" t="s">
        <v>482</v>
      </c>
      <c r="V704" s="291"/>
      <c r="W704" s="151"/>
      <c r="X704" s="281"/>
      <c r="Y704" s="523"/>
      <c r="Z704" s="523"/>
      <c r="AA704" s="523" t="s">
        <v>482</v>
      </c>
      <c r="AB704" s="291"/>
      <c r="AC704" s="151"/>
      <c r="AD704" s="529"/>
      <c r="AE704" s="523"/>
      <c r="AF704" s="523"/>
      <c r="AG704" s="523" t="s">
        <v>482</v>
      </c>
      <c r="AH704" s="291"/>
      <c r="AI704" s="523"/>
      <c r="AJ704" s="529"/>
      <c r="AK704" s="523"/>
      <c r="AL704" s="523"/>
      <c r="AM704" s="523" t="s">
        <v>482</v>
      </c>
      <c r="AN704" s="291"/>
      <c r="AO704" s="523"/>
      <c r="AP704" s="529"/>
      <c r="AQ704" s="631"/>
      <c r="AS704" s="278"/>
      <c r="AT704" s="278"/>
      <c r="AU704" s="278"/>
      <c r="AV704" s="278"/>
      <c r="AW704" s="278"/>
      <c r="AX704" s="278"/>
      <c r="AY704" s="278"/>
    </row>
    <row r="705" spans="1:51" ht="60">
      <c r="A705" s="637">
        <v>66</v>
      </c>
      <c r="B705" s="524" t="s">
        <v>1042</v>
      </c>
      <c r="C705" s="699" t="s">
        <v>1043</v>
      </c>
      <c r="D705" s="526" t="s">
        <v>1044</v>
      </c>
      <c r="E705" s="527">
        <v>13.903</v>
      </c>
      <c r="F705" s="528">
        <v>82027.700000000012</v>
      </c>
      <c r="G705" s="523"/>
      <c r="H705" s="523"/>
      <c r="I705" s="523"/>
      <c r="J705" s="150"/>
      <c r="K705" s="151"/>
      <c r="L705" s="281"/>
      <c r="M705" s="523"/>
      <c r="N705" s="523"/>
      <c r="O705" s="523" t="s">
        <v>482</v>
      </c>
      <c r="P705" s="291"/>
      <c r="Q705" s="151"/>
      <c r="R705" s="281"/>
      <c r="S705" s="523"/>
      <c r="T705" s="523"/>
      <c r="U705" s="523" t="s">
        <v>482</v>
      </c>
      <c r="V705" s="291"/>
      <c r="W705" s="151"/>
      <c r="X705" s="281"/>
      <c r="Y705" s="523"/>
      <c r="Z705" s="523"/>
      <c r="AA705" s="523"/>
      <c r="AB705" s="291"/>
      <c r="AC705" s="151"/>
      <c r="AD705" s="529"/>
      <c r="AE705" s="523"/>
      <c r="AF705" s="523"/>
      <c r="AG705" s="523" t="s">
        <v>482</v>
      </c>
      <c r="AH705" s="291"/>
      <c r="AI705" s="523"/>
      <c r="AJ705" s="529"/>
      <c r="AK705" s="523"/>
      <c r="AL705" s="523"/>
      <c r="AM705" s="523" t="s">
        <v>482</v>
      </c>
      <c r="AN705" s="291"/>
      <c r="AO705" s="523"/>
      <c r="AP705" s="529"/>
      <c r="AQ705" s="631"/>
      <c r="AS705" s="278"/>
      <c r="AT705" s="278"/>
      <c r="AU705" s="278"/>
      <c r="AV705" s="278"/>
      <c r="AW705" s="278"/>
      <c r="AX705" s="278"/>
      <c r="AY705" s="278"/>
    </row>
    <row r="706" spans="1:51" ht="30">
      <c r="A706" s="637">
        <v>67</v>
      </c>
      <c r="B706" s="524" t="s">
        <v>1045</v>
      </c>
      <c r="C706" s="699" t="s">
        <v>1046</v>
      </c>
      <c r="D706" s="526" t="s">
        <v>1047</v>
      </c>
      <c r="E706" s="527">
        <v>0.35399999999999998</v>
      </c>
      <c r="F706" s="528">
        <v>2124</v>
      </c>
      <c r="G706" s="523"/>
      <c r="H706" s="523"/>
      <c r="I706" s="523"/>
      <c r="J706" s="150"/>
      <c r="K706" s="151"/>
      <c r="L706" s="281"/>
      <c r="M706" s="523"/>
      <c r="N706" s="523"/>
      <c r="O706" s="523" t="s">
        <v>482</v>
      </c>
      <c r="P706" s="291"/>
      <c r="Q706" s="151"/>
      <c r="R706" s="281"/>
      <c r="S706" s="523"/>
      <c r="T706" s="523"/>
      <c r="U706" s="523" t="s">
        <v>482</v>
      </c>
      <c r="V706" s="291"/>
      <c r="W706" s="151"/>
      <c r="X706" s="281"/>
      <c r="Y706" s="523"/>
      <c r="Z706" s="523"/>
      <c r="AA706" s="523" t="s">
        <v>482</v>
      </c>
      <c r="AB706" s="291"/>
      <c r="AC706" s="151"/>
      <c r="AD706" s="529"/>
      <c r="AE706" s="523"/>
      <c r="AF706" s="523"/>
      <c r="AG706" s="523" t="s">
        <v>482</v>
      </c>
      <c r="AH706" s="291"/>
      <c r="AI706" s="523"/>
      <c r="AJ706" s="529"/>
      <c r="AK706" s="523"/>
      <c r="AL706" s="523"/>
      <c r="AM706" s="523" t="s">
        <v>482</v>
      </c>
      <c r="AN706" s="291"/>
      <c r="AO706" s="523"/>
      <c r="AP706" s="529"/>
      <c r="AQ706" s="631"/>
      <c r="AS706" s="278"/>
      <c r="AT706" s="278"/>
      <c r="AU706" s="278"/>
      <c r="AV706" s="278"/>
      <c r="AW706" s="278"/>
      <c r="AX706" s="278"/>
      <c r="AY706" s="278"/>
    </row>
    <row r="707" spans="1:51" ht="45">
      <c r="A707" s="637">
        <v>68</v>
      </c>
      <c r="B707" s="524" t="s">
        <v>1048</v>
      </c>
      <c r="C707" s="699" t="s">
        <v>1049</v>
      </c>
      <c r="D707" s="526" t="s">
        <v>1050</v>
      </c>
      <c r="E707" s="527">
        <v>2.9369999999999998</v>
      </c>
      <c r="F707" s="528">
        <v>17622</v>
      </c>
      <c r="G707" s="523"/>
      <c r="H707" s="523"/>
      <c r="I707" s="523"/>
      <c r="J707" s="150"/>
      <c r="K707" s="151"/>
      <c r="L707" s="281"/>
      <c r="M707" s="523"/>
      <c r="N707" s="523"/>
      <c r="O707" s="523" t="s">
        <v>482</v>
      </c>
      <c r="P707" s="291"/>
      <c r="Q707" s="151"/>
      <c r="R707" s="281"/>
      <c r="S707" s="523"/>
      <c r="T707" s="523"/>
      <c r="U707" s="523" t="s">
        <v>482</v>
      </c>
      <c r="V707" s="291"/>
      <c r="W707" s="151"/>
      <c r="X707" s="281"/>
      <c r="Y707" s="523"/>
      <c r="Z707" s="523"/>
      <c r="AA707" s="523" t="s">
        <v>482</v>
      </c>
      <c r="AB707" s="291"/>
      <c r="AC707" s="151"/>
      <c r="AD707" s="529"/>
      <c r="AE707" s="523"/>
      <c r="AF707" s="523"/>
      <c r="AG707" s="523" t="s">
        <v>482</v>
      </c>
      <c r="AH707" s="291"/>
      <c r="AI707" s="523"/>
      <c r="AJ707" s="529"/>
      <c r="AK707" s="523"/>
      <c r="AL707" s="523"/>
      <c r="AM707" s="523" t="s">
        <v>482</v>
      </c>
      <c r="AN707" s="291"/>
      <c r="AO707" s="523"/>
      <c r="AP707" s="529"/>
      <c r="AQ707" s="631"/>
      <c r="AS707" s="278"/>
      <c r="AT707" s="278"/>
      <c r="AU707" s="278"/>
      <c r="AV707" s="278"/>
      <c r="AW707" s="278"/>
      <c r="AX707" s="278"/>
      <c r="AY707" s="278"/>
    </row>
    <row r="708" spans="1:51" ht="60">
      <c r="A708" s="637">
        <v>69</v>
      </c>
      <c r="B708" s="524">
        <v>805818</v>
      </c>
      <c r="C708" s="699" t="s">
        <v>1051</v>
      </c>
      <c r="D708" s="526" t="s">
        <v>1052</v>
      </c>
      <c r="E708" s="527">
        <v>18.52</v>
      </c>
      <c r="F708" s="528">
        <v>111120</v>
      </c>
      <c r="G708" s="523"/>
      <c r="H708" s="523"/>
      <c r="I708" s="523"/>
      <c r="J708" s="150"/>
      <c r="K708" s="151"/>
      <c r="L708" s="281"/>
      <c r="M708" s="523"/>
      <c r="N708" s="523"/>
      <c r="O708" s="523" t="s">
        <v>482</v>
      </c>
      <c r="P708" s="291"/>
      <c r="Q708" s="151"/>
      <c r="R708" s="281"/>
      <c r="S708" s="523"/>
      <c r="T708" s="523"/>
      <c r="U708" s="523" t="s">
        <v>482</v>
      </c>
      <c r="V708" s="291"/>
      <c r="W708" s="151"/>
      <c r="X708" s="281"/>
      <c r="Y708" s="523"/>
      <c r="Z708" s="523"/>
      <c r="AA708" s="523" t="s">
        <v>482</v>
      </c>
      <c r="AB708" s="291"/>
      <c r="AC708" s="151"/>
      <c r="AD708" s="529"/>
      <c r="AE708" s="523"/>
      <c r="AF708" s="523"/>
      <c r="AG708" s="523" t="s">
        <v>482</v>
      </c>
      <c r="AH708" s="291"/>
      <c r="AI708" s="523"/>
      <c r="AJ708" s="529"/>
      <c r="AK708" s="523"/>
      <c r="AL708" s="523"/>
      <c r="AM708" s="523" t="s">
        <v>482</v>
      </c>
      <c r="AN708" s="291"/>
      <c r="AO708" s="523"/>
      <c r="AP708" s="529"/>
      <c r="AQ708" s="631"/>
      <c r="AS708" s="278"/>
      <c r="AT708" s="278"/>
      <c r="AU708" s="278"/>
      <c r="AV708" s="278"/>
      <c r="AW708" s="278"/>
      <c r="AX708" s="278"/>
      <c r="AY708" s="278"/>
    </row>
    <row r="709" spans="1:51" ht="45">
      <c r="A709" s="637">
        <v>70</v>
      </c>
      <c r="B709" s="524" t="s">
        <v>1053</v>
      </c>
      <c r="C709" s="699" t="s">
        <v>1054</v>
      </c>
      <c r="D709" s="526" t="s">
        <v>1055</v>
      </c>
      <c r="E709" s="527">
        <v>15.56</v>
      </c>
      <c r="F709" s="528">
        <v>93360</v>
      </c>
      <c r="G709" s="523"/>
      <c r="H709" s="523"/>
      <c r="I709" s="523"/>
      <c r="J709" s="150"/>
      <c r="K709" s="151"/>
      <c r="L709" s="281"/>
      <c r="M709" s="523"/>
      <c r="N709" s="523"/>
      <c r="O709" s="523" t="s">
        <v>482</v>
      </c>
      <c r="P709" s="291"/>
      <c r="Q709" s="151"/>
      <c r="R709" s="281"/>
      <c r="S709" s="523"/>
      <c r="T709" s="523"/>
      <c r="U709" s="523" t="s">
        <v>482</v>
      </c>
      <c r="V709" s="291"/>
      <c r="W709" s="151"/>
      <c r="X709" s="281"/>
      <c r="Y709" s="523"/>
      <c r="Z709" s="523"/>
      <c r="AA709" s="523" t="s">
        <v>482</v>
      </c>
      <c r="AB709" s="291"/>
      <c r="AC709" s="151"/>
      <c r="AD709" s="529"/>
      <c r="AE709" s="523"/>
      <c r="AF709" s="523"/>
      <c r="AG709" s="523" t="s">
        <v>482</v>
      </c>
      <c r="AH709" s="291"/>
      <c r="AI709" s="523"/>
      <c r="AJ709" s="529"/>
      <c r="AK709" s="523"/>
      <c r="AL709" s="523"/>
      <c r="AM709" s="523" t="s">
        <v>482</v>
      </c>
      <c r="AN709" s="291"/>
      <c r="AO709" s="523"/>
      <c r="AP709" s="529"/>
      <c r="AQ709" s="631"/>
      <c r="AS709" s="278"/>
      <c r="AT709" s="278"/>
      <c r="AU709" s="278"/>
      <c r="AV709" s="278"/>
      <c r="AW709" s="278"/>
      <c r="AX709" s="278"/>
      <c r="AY709" s="278"/>
    </row>
    <row r="710" spans="1:51" ht="33" customHeight="1">
      <c r="A710" s="637">
        <v>71</v>
      </c>
      <c r="B710" s="524" t="s">
        <v>1056</v>
      </c>
      <c r="C710" s="699" t="s">
        <v>1057</v>
      </c>
      <c r="D710" s="526" t="s">
        <v>1058</v>
      </c>
      <c r="E710" s="527">
        <v>1.5</v>
      </c>
      <c r="F710" s="528">
        <v>9000</v>
      </c>
      <c r="G710" s="523"/>
      <c r="H710" s="523"/>
      <c r="I710" s="523"/>
      <c r="J710" s="150"/>
      <c r="K710" s="151"/>
      <c r="L710" s="281"/>
      <c r="M710" s="523"/>
      <c r="N710" s="523"/>
      <c r="O710" s="523" t="s">
        <v>482</v>
      </c>
      <c r="P710" s="291"/>
      <c r="Q710" s="151"/>
      <c r="R710" s="281"/>
      <c r="S710" s="523"/>
      <c r="T710" s="523"/>
      <c r="U710" s="523" t="s">
        <v>482</v>
      </c>
      <c r="V710" s="291"/>
      <c r="W710" s="151"/>
      <c r="X710" s="281"/>
      <c r="Y710" s="523"/>
      <c r="Z710" s="523"/>
      <c r="AA710" s="523" t="s">
        <v>482</v>
      </c>
      <c r="AB710" s="291"/>
      <c r="AC710" s="151"/>
      <c r="AD710" s="529"/>
      <c r="AE710" s="523"/>
      <c r="AF710" s="523"/>
      <c r="AG710" s="523" t="s">
        <v>482</v>
      </c>
      <c r="AH710" s="291"/>
      <c r="AI710" s="523"/>
      <c r="AJ710" s="529"/>
      <c r="AK710" s="523"/>
      <c r="AL710" s="523"/>
      <c r="AM710" s="523" t="s">
        <v>482</v>
      </c>
      <c r="AN710" s="291"/>
      <c r="AO710" s="523"/>
      <c r="AP710" s="529"/>
      <c r="AQ710" s="631"/>
      <c r="AS710" s="278"/>
      <c r="AT710" s="278"/>
      <c r="AU710" s="278"/>
      <c r="AV710" s="278"/>
      <c r="AW710" s="278"/>
      <c r="AX710" s="278"/>
      <c r="AY710" s="278"/>
    </row>
    <row r="711" spans="1:51" ht="33" customHeight="1">
      <c r="A711" s="637">
        <v>72</v>
      </c>
      <c r="B711" s="524" t="s">
        <v>1056</v>
      </c>
      <c r="C711" s="699" t="s">
        <v>1059</v>
      </c>
      <c r="D711" s="526" t="s">
        <v>1058</v>
      </c>
      <c r="E711" s="527">
        <v>2.29</v>
      </c>
      <c r="F711" s="528">
        <v>13740</v>
      </c>
      <c r="G711" s="523"/>
      <c r="H711" s="523"/>
      <c r="I711" s="523"/>
      <c r="J711" s="150"/>
      <c r="K711" s="151"/>
      <c r="L711" s="281"/>
      <c r="M711" s="523"/>
      <c r="N711" s="523"/>
      <c r="O711" s="523" t="s">
        <v>482</v>
      </c>
      <c r="P711" s="291"/>
      <c r="Q711" s="151"/>
      <c r="R711" s="281"/>
      <c r="S711" s="523"/>
      <c r="T711" s="523"/>
      <c r="U711" s="523" t="s">
        <v>482</v>
      </c>
      <c r="V711" s="291"/>
      <c r="W711" s="151"/>
      <c r="X711" s="281"/>
      <c r="Y711" s="523"/>
      <c r="Z711" s="523"/>
      <c r="AA711" s="523" t="s">
        <v>482</v>
      </c>
      <c r="AB711" s="291"/>
      <c r="AC711" s="151"/>
      <c r="AD711" s="529"/>
      <c r="AE711" s="523"/>
      <c r="AF711" s="523"/>
      <c r="AG711" s="523" t="s">
        <v>482</v>
      </c>
      <c r="AH711" s="291"/>
      <c r="AI711" s="523"/>
      <c r="AJ711" s="529"/>
      <c r="AK711" s="523"/>
      <c r="AL711" s="523"/>
      <c r="AM711" s="523" t="s">
        <v>482</v>
      </c>
      <c r="AN711" s="291"/>
      <c r="AO711" s="523"/>
      <c r="AP711" s="529"/>
      <c r="AQ711" s="631"/>
      <c r="AS711" s="278"/>
      <c r="AT711" s="278"/>
      <c r="AU711" s="278"/>
      <c r="AV711" s="278"/>
      <c r="AW711" s="278"/>
      <c r="AX711" s="278"/>
      <c r="AY711" s="278"/>
    </row>
    <row r="712" spans="1:51" ht="33" customHeight="1">
      <c r="A712" s="637">
        <v>73</v>
      </c>
      <c r="B712" s="524" t="s">
        <v>885</v>
      </c>
      <c r="C712" s="699" t="s">
        <v>886</v>
      </c>
      <c r="D712" s="526" t="s">
        <v>887</v>
      </c>
      <c r="E712" s="527">
        <v>1.47</v>
      </c>
      <c r="F712" s="528">
        <v>8820</v>
      </c>
      <c r="G712" s="523"/>
      <c r="H712" s="523"/>
      <c r="I712" s="523"/>
      <c r="J712" s="150"/>
      <c r="K712" s="151"/>
      <c r="L712" s="281"/>
      <c r="M712" s="523"/>
      <c r="N712" s="523"/>
      <c r="O712" s="523" t="s">
        <v>482</v>
      </c>
      <c r="P712" s="291"/>
      <c r="Q712" s="151"/>
      <c r="R712" s="281"/>
      <c r="S712" s="523"/>
      <c r="T712" s="523"/>
      <c r="U712" s="523" t="s">
        <v>482</v>
      </c>
      <c r="V712" s="291"/>
      <c r="W712" s="151"/>
      <c r="X712" s="281"/>
      <c r="Y712" s="523"/>
      <c r="Z712" s="523"/>
      <c r="AA712" s="523" t="s">
        <v>482</v>
      </c>
      <c r="AB712" s="291"/>
      <c r="AC712" s="151"/>
      <c r="AD712" s="529"/>
      <c r="AE712" s="523"/>
      <c r="AF712" s="523"/>
      <c r="AG712" s="523" t="s">
        <v>482</v>
      </c>
      <c r="AH712" s="291"/>
      <c r="AI712" s="523"/>
      <c r="AJ712" s="529"/>
      <c r="AK712" s="523"/>
      <c r="AL712" s="523"/>
      <c r="AM712" s="523" t="s">
        <v>482</v>
      </c>
      <c r="AN712" s="291"/>
      <c r="AO712" s="523"/>
      <c r="AP712" s="529"/>
      <c r="AQ712" s="631"/>
      <c r="AS712" s="278"/>
      <c r="AT712" s="278"/>
      <c r="AU712" s="278"/>
      <c r="AV712" s="278"/>
      <c r="AW712" s="278"/>
      <c r="AX712" s="278"/>
      <c r="AY712" s="278"/>
    </row>
    <row r="713" spans="1:51" ht="33" customHeight="1">
      <c r="A713" s="637">
        <v>74</v>
      </c>
      <c r="B713" s="524" t="s">
        <v>885</v>
      </c>
      <c r="C713" s="699" t="s">
        <v>1060</v>
      </c>
      <c r="D713" s="526" t="s">
        <v>887</v>
      </c>
      <c r="E713" s="527">
        <v>1.68</v>
      </c>
      <c r="F713" s="528">
        <v>10080</v>
      </c>
      <c r="G713" s="523"/>
      <c r="H713" s="523"/>
      <c r="I713" s="523"/>
      <c r="J713" s="150"/>
      <c r="K713" s="151"/>
      <c r="L713" s="281"/>
      <c r="M713" s="523"/>
      <c r="N713" s="523"/>
      <c r="O713" s="523" t="s">
        <v>482</v>
      </c>
      <c r="P713" s="291"/>
      <c r="Q713" s="151"/>
      <c r="R713" s="281"/>
      <c r="S713" s="523"/>
      <c r="T713" s="523"/>
      <c r="U713" s="523" t="s">
        <v>482</v>
      </c>
      <c r="V713" s="291"/>
      <c r="W713" s="151"/>
      <c r="X713" s="281"/>
      <c r="Y713" s="523"/>
      <c r="Z713" s="523"/>
      <c r="AA713" s="523" t="s">
        <v>482</v>
      </c>
      <c r="AB713" s="291"/>
      <c r="AC713" s="151"/>
      <c r="AD713" s="529"/>
      <c r="AE713" s="523"/>
      <c r="AF713" s="523"/>
      <c r="AG713" s="523" t="s">
        <v>482</v>
      </c>
      <c r="AH713" s="291"/>
      <c r="AI713" s="523"/>
      <c r="AJ713" s="529"/>
      <c r="AK713" s="523"/>
      <c r="AL713" s="523"/>
      <c r="AM713" s="523" t="s">
        <v>482</v>
      </c>
      <c r="AN713" s="291"/>
      <c r="AO713" s="523"/>
      <c r="AP713" s="529"/>
      <c r="AQ713" s="631"/>
      <c r="AS713" s="278"/>
      <c r="AT713" s="278"/>
      <c r="AU713" s="278"/>
      <c r="AV713" s="278"/>
      <c r="AW713" s="278"/>
      <c r="AX713" s="278"/>
      <c r="AY713" s="278"/>
    </row>
    <row r="714" spans="1:51" ht="30">
      <c r="A714" s="637">
        <v>75</v>
      </c>
      <c r="B714" s="524" t="s">
        <v>888</v>
      </c>
      <c r="C714" s="699" t="s">
        <v>889</v>
      </c>
      <c r="D714" s="526" t="s">
        <v>890</v>
      </c>
      <c r="E714" s="527">
        <v>15</v>
      </c>
      <c r="F714" s="528">
        <v>90000</v>
      </c>
      <c r="G714" s="523"/>
      <c r="H714" s="523"/>
      <c r="I714" s="523"/>
      <c r="J714" s="150"/>
      <c r="K714" s="151"/>
      <c r="L714" s="281"/>
      <c r="M714" s="523"/>
      <c r="N714" s="523"/>
      <c r="O714" s="523" t="s">
        <v>482</v>
      </c>
      <c r="P714" s="291"/>
      <c r="Q714" s="151"/>
      <c r="R714" s="281"/>
      <c r="S714" s="523"/>
      <c r="T714" s="523"/>
      <c r="U714" s="523" t="s">
        <v>482</v>
      </c>
      <c r="V714" s="291"/>
      <c r="W714" s="151"/>
      <c r="X714" s="281"/>
      <c r="Y714" s="523"/>
      <c r="Z714" s="523"/>
      <c r="AA714" s="523" t="s">
        <v>482</v>
      </c>
      <c r="AB714" s="291"/>
      <c r="AC714" s="151"/>
      <c r="AD714" s="529"/>
      <c r="AE714" s="523"/>
      <c r="AF714" s="523"/>
      <c r="AG714" s="523" t="s">
        <v>482</v>
      </c>
      <c r="AH714" s="291"/>
      <c r="AI714" s="523"/>
      <c r="AJ714" s="529"/>
      <c r="AK714" s="523"/>
      <c r="AL714" s="523"/>
      <c r="AM714" s="523" t="s">
        <v>482</v>
      </c>
      <c r="AN714" s="291"/>
      <c r="AO714" s="523"/>
      <c r="AP714" s="529"/>
      <c r="AQ714" s="631"/>
      <c r="AS714" s="278"/>
      <c r="AT714" s="278"/>
      <c r="AU714" s="278"/>
      <c r="AV714" s="278"/>
      <c r="AW714" s="278"/>
      <c r="AX714" s="278"/>
      <c r="AY714" s="278"/>
    </row>
    <row r="715" spans="1:51" ht="18" customHeight="1">
      <c r="A715" s="637">
        <v>76</v>
      </c>
      <c r="B715" s="524" t="s">
        <v>1061</v>
      </c>
      <c r="C715" s="699" t="s">
        <v>1062</v>
      </c>
      <c r="D715" s="526" t="s">
        <v>1063</v>
      </c>
      <c r="E715" s="527">
        <v>1.69</v>
      </c>
      <c r="F715" s="528">
        <v>10140</v>
      </c>
      <c r="G715" s="523"/>
      <c r="H715" s="523"/>
      <c r="I715" s="523"/>
      <c r="J715" s="150"/>
      <c r="K715" s="151"/>
      <c r="L715" s="281"/>
      <c r="M715" s="523"/>
      <c r="N715" s="523"/>
      <c r="O715" s="523" t="s">
        <v>482</v>
      </c>
      <c r="P715" s="291"/>
      <c r="Q715" s="151"/>
      <c r="R715" s="281"/>
      <c r="S715" s="523"/>
      <c r="T715" s="523"/>
      <c r="U715" s="523" t="s">
        <v>482</v>
      </c>
      <c r="V715" s="291"/>
      <c r="W715" s="151"/>
      <c r="X715" s="281"/>
      <c r="Y715" s="523"/>
      <c r="Z715" s="523"/>
      <c r="AA715" s="523" t="s">
        <v>482</v>
      </c>
      <c r="AB715" s="291"/>
      <c r="AC715" s="151"/>
      <c r="AD715" s="529"/>
      <c r="AE715" s="523"/>
      <c r="AF715" s="523"/>
      <c r="AG715" s="523" t="s">
        <v>482</v>
      </c>
      <c r="AH715" s="291"/>
      <c r="AI715" s="523"/>
      <c r="AJ715" s="529"/>
      <c r="AK715" s="523"/>
      <c r="AL715" s="523"/>
      <c r="AM715" s="523" t="s">
        <v>482</v>
      </c>
      <c r="AN715" s="291"/>
      <c r="AO715" s="523"/>
      <c r="AP715" s="529"/>
      <c r="AQ715" s="631"/>
      <c r="AS715" s="278"/>
      <c r="AT715" s="278"/>
      <c r="AU715" s="278"/>
      <c r="AV715" s="278"/>
      <c r="AW715" s="278"/>
      <c r="AX715" s="278"/>
      <c r="AY715" s="278"/>
    </row>
    <row r="716" spans="1:51" ht="30" customHeight="1">
      <c r="A716" s="637">
        <v>77</v>
      </c>
      <c r="B716" s="524" t="s">
        <v>1064</v>
      </c>
      <c r="C716" s="700" t="s">
        <v>1065</v>
      </c>
      <c r="D716" s="526" t="s">
        <v>847</v>
      </c>
      <c r="E716" s="527">
        <v>3.26</v>
      </c>
      <c r="F716" s="528">
        <v>19560</v>
      </c>
      <c r="G716" s="523"/>
      <c r="H716" s="523"/>
      <c r="I716" s="523"/>
      <c r="J716" s="150"/>
      <c r="K716" s="151"/>
      <c r="L716" s="281"/>
      <c r="M716" s="523"/>
      <c r="N716" s="523"/>
      <c r="O716" s="523" t="s">
        <v>482</v>
      </c>
      <c r="P716" s="291"/>
      <c r="Q716" s="151"/>
      <c r="R716" s="281"/>
      <c r="S716" s="523"/>
      <c r="T716" s="523"/>
      <c r="U716" s="523" t="s">
        <v>482</v>
      </c>
      <c r="V716" s="291"/>
      <c r="W716" s="151"/>
      <c r="X716" s="281"/>
      <c r="Y716" s="523"/>
      <c r="Z716" s="523"/>
      <c r="AA716" s="523" t="s">
        <v>482</v>
      </c>
      <c r="AB716" s="291"/>
      <c r="AC716" s="151"/>
      <c r="AD716" s="529"/>
      <c r="AE716" s="523"/>
      <c r="AF716" s="523"/>
      <c r="AG716" s="523" t="s">
        <v>482</v>
      </c>
      <c r="AH716" s="291"/>
      <c r="AI716" s="523"/>
      <c r="AJ716" s="529"/>
      <c r="AK716" s="523"/>
      <c r="AL716" s="523"/>
      <c r="AM716" s="523" t="s">
        <v>482</v>
      </c>
      <c r="AN716" s="291"/>
      <c r="AO716" s="523"/>
      <c r="AP716" s="529"/>
      <c r="AQ716" s="631"/>
      <c r="AS716" s="278"/>
      <c r="AT716" s="278"/>
      <c r="AU716" s="278"/>
      <c r="AV716" s="278"/>
      <c r="AW716" s="278"/>
      <c r="AX716" s="278"/>
      <c r="AY716" s="278"/>
    </row>
    <row r="717" spans="1:51" ht="30">
      <c r="A717" s="637">
        <v>78</v>
      </c>
      <c r="B717" s="524" t="s">
        <v>1066</v>
      </c>
      <c r="C717" s="699" t="s">
        <v>1067</v>
      </c>
      <c r="D717" s="526" t="s">
        <v>1068</v>
      </c>
      <c r="E717" s="527">
        <v>29.64</v>
      </c>
      <c r="F717" s="528">
        <v>177840</v>
      </c>
      <c r="G717" s="523"/>
      <c r="H717" s="523"/>
      <c r="I717" s="523"/>
      <c r="J717" s="150"/>
      <c r="K717" s="151"/>
      <c r="L717" s="281"/>
      <c r="M717" s="523"/>
      <c r="N717" s="523"/>
      <c r="O717" s="523" t="s">
        <v>482</v>
      </c>
      <c r="P717" s="291"/>
      <c r="Q717" s="151"/>
      <c r="R717" s="281"/>
      <c r="S717" s="523"/>
      <c r="T717" s="523"/>
      <c r="U717" s="523" t="s">
        <v>482</v>
      </c>
      <c r="V717" s="291"/>
      <c r="W717" s="151"/>
      <c r="X717" s="281"/>
      <c r="Y717" s="523"/>
      <c r="Z717" s="523"/>
      <c r="AA717" s="523" t="s">
        <v>482</v>
      </c>
      <c r="AB717" s="291"/>
      <c r="AC717" s="151"/>
      <c r="AD717" s="529"/>
      <c r="AE717" s="523"/>
      <c r="AF717" s="523"/>
      <c r="AG717" s="523" t="s">
        <v>482</v>
      </c>
      <c r="AH717" s="291"/>
      <c r="AI717" s="523"/>
      <c r="AJ717" s="529"/>
      <c r="AK717" s="523"/>
      <c r="AL717" s="523"/>
      <c r="AM717" s="523" t="s">
        <v>482</v>
      </c>
      <c r="AN717" s="291"/>
      <c r="AO717" s="523"/>
      <c r="AP717" s="529"/>
      <c r="AQ717" s="631"/>
      <c r="AS717" s="278"/>
      <c r="AT717" s="278"/>
      <c r="AU717" s="278"/>
      <c r="AV717" s="278"/>
      <c r="AW717" s="278"/>
      <c r="AX717" s="278"/>
      <c r="AY717" s="278"/>
    </row>
    <row r="718" spans="1:51" ht="20.25" customHeight="1">
      <c r="A718" s="637">
        <v>79</v>
      </c>
      <c r="B718" s="524" t="s">
        <v>1069</v>
      </c>
      <c r="C718" s="699" t="s">
        <v>1070</v>
      </c>
      <c r="D718" s="526" t="s">
        <v>1071</v>
      </c>
      <c r="E718" s="527">
        <v>7.36</v>
      </c>
      <c r="F718" s="528">
        <v>44160</v>
      </c>
      <c r="G718" s="523"/>
      <c r="H718" s="523"/>
      <c r="I718" s="523"/>
      <c r="J718" s="150"/>
      <c r="K718" s="151"/>
      <c r="L718" s="281"/>
      <c r="M718" s="523"/>
      <c r="N718" s="523"/>
      <c r="O718" s="523" t="s">
        <v>482</v>
      </c>
      <c r="P718" s="291"/>
      <c r="Q718" s="151"/>
      <c r="R718" s="281"/>
      <c r="S718" s="523"/>
      <c r="T718" s="523"/>
      <c r="U718" s="523" t="s">
        <v>482</v>
      </c>
      <c r="V718" s="291"/>
      <c r="W718" s="151"/>
      <c r="X718" s="281"/>
      <c r="Y718" s="523"/>
      <c r="Z718" s="523"/>
      <c r="AA718" s="523" t="s">
        <v>482</v>
      </c>
      <c r="AB718" s="291"/>
      <c r="AC718" s="151"/>
      <c r="AD718" s="529"/>
      <c r="AE718" s="523"/>
      <c r="AF718" s="523"/>
      <c r="AG718" s="523" t="s">
        <v>482</v>
      </c>
      <c r="AH718" s="291"/>
      <c r="AI718" s="523"/>
      <c r="AJ718" s="529"/>
      <c r="AK718" s="523"/>
      <c r="AL718" s="523"/>
      <c r="AM718" s="523" t="s">
        <v>482</v>
      </c>
      <c r="AN718" s="291"/>
      <c r="AO718" s="523"/>
      <c r="AP718" s="529"/>
      <c r="AQ718" s="631"/>
      <c r="AS718" s="278"/>
      <c r="AT718" s="278"/>
      <c r="AU718" s="278"/>
      <c r="AV718" s="278"/>
      <c r="AW718" s="278"/>
      <c r="AX718" s="278"/>
      <c r="AY718" s="278"/>
    </row>
    <row r="719" spans="1:51" ht="30.75" customHeight="1">
      <c r="A719" s="637">
        <v>80</v>
      </c>
      <c r="B719" s="524" t="s">
        <v>1072</v>
      </c>
      <c r="C719" s="699" t="s">
        <v>1073</v>
      </c>
      <c r="D719" s="526" t="s">
        <v>1074</v>
      </c>
      <c r="E719" s="527">
        <v>9.9600000000000009</v>
      </c>
      <c r="F719" s="528">
        <v>59760</v>
      </c>
      <c r="G719" s="523"/>
      <c r="H719" s="523"/>
      <c r="I719" s="523"/>
      <c r="J719" s="150"/>
      <c r="K719" s="151"/>
      <c r="L719" s="281"/>
      <c r="M719" s="523"/>
      <c r="N719" s="523"/>
      <c r="O719" s="523" t="s">
        <v>482</v>
      </c>
      <c r="P719" s="291"/>
      <c r="Q719" s="151"/>
      <c r="R719" s="281"/>
      <c r="S719" s="523"/>
      <c r="T719" s="523"/>
      <c r="U719" s="523" t="s">
        <v>482</v>
      </c>
      <c r="V719" s="291"/>
      <c r="W719" s="151"/>
      <c r="X719" s="281"/>
      <c r="Y719" s="523"/>
      <c r="Z719" s="523"/>
      <c r="AA719" s="523" t="s">
        <v>482</v>
      </c>
      <c r="AB719" s="291"/>
      <c r="AC719" s="151"/>
      <c r="AD719" s="529"/>
      <c r="AE719" s="523"/>
      <c r="AF719" s="523"/>
      <c r="AG719" s="523" t="s">
        <v>482</v>
      </c>
      <c r="AH719" s="291"/>
      <c r="AI719" s="523"/>
      <c r="AJ719" s="529"/>
      <c r="AK719" s="523"/>
      <c r="AL719" s="523"/>
      <c r="AM719" s="523" t="s">
        <v>482</v>
      </c>
      <c r="AN719" s="291"/>
      <c r="AO719" s="523"/>
      <c r="AP719" s="529"/>
      <c r="AQ719" s="631"/>
      <c r="AS719" s="278"/>
      <c r="AT719" s="278"/>
      <c r="AU719" s="278"/>
      <c r="AV719" s="278"/>
      <c r="AW719" s="278"/>
      <c r="AX719" s="278"/>
      <c r="AY719" s="278"/>
    </row>
    <row r="720" spans="1:51" ht="30">
      <c r="A720" s="637">
        <v>81</v>
      </c>
      <c r="B720" s="524" t="s">
        <v>1075</v>
      </c>
      <c r="C720" s="700" t="s">
        <v>1076</v>
      </c>
      <c r="D720" s="526" t="s">
        <v>1077</v>
      </c>
      <c r="E720" s="527">
        <v>0.77500000000000002</v>
      </c>
      <c r="F720" s="528">
        <v>4262.5</v>
      </c>
      <c r="G720" s="523"/>
      <c r="H720" s="523"/>
      <c r="I720" s="523"/>
      <c r="J720" s="150"/>
      <c r="K720" s="151"/>
      <c r="L720" s="281"/>
      <c r="M720" s="523"/>
      <c r="N720" s="523"/>
      <c r="O720" s="523" t="s">
        <v>482</v>
      </c>
      <c r="P720" s="291"/>
      <c r="Q720" s="151"/>
      <c r="R720" s="281"/>
      <c r="S720" s="523"/>
      <c r="T720" s="523"/>
      <c r="U720" s="523" t="s">
        <v>482</v>
      </c>
      <c r="V720" s="291"/>
      <c r="W720" s="151"/>
      <c r="X720" s="281"/>
      <c r="Y720" s="523"/>
      <c r="Z720" s="523"/>
      <c r="AA720" s="523" t="s">
        <v>482</v>
      </c>
      <c r="AB720" s="291"/>
      <c r="AC720" s="151"/>
      <c r="AD720" s="529"/>
      <c r="AE720" s="523"/>
      <c r="AF720" s="523"/>
      <c r="AG720" s="523" t="s">
        <v>482</v>
      </c>
      <c r="AH720" s="291"/>
      <c r="AI720" s="523"/>
      <c r="AJ720" s="529"/>
      <c r="AK720" s="523"/>
      <c r="AL720" s="523"/>
      <c r="AM720" s="523" t="s">
        <v>482</v>
      </c>
      <c r="AN720" s="291"/>
      <c r="AO720" s="523"/>
      <c r="AP720" s="529"/>
      <c r="AQ720" s="631"/>
      <c r="AS720" s="278"/>
      <c r="AT720" s="278"/>
      <c r="AU720" s="278"/>
      <c r="AV720" s="278"/>
      <c r="AW720" s="278"/>
      <c r="AX720" s="278"/>
      <c r="AY720" s="278"/>
    </row>
    <row r="721" spans="1:51" ht="30">
      <c r="A721" s="637">
        <v>82</v>
      </c>
      <c r="B721" s="524" t="s">
        <v>1078</v>
      </c>
      <c r="C721" s="699" t="s">
        <v>1079</v>
      </c>
      <c r="D721" s="526" t="s">
        <v>1080</v>
      </c>
      <c r="E721" s="527">
        <v>0.16500000000000001</v>
      </c>
      <c r="F721" s="528">
        <v>907.5</v>
      </c>
      <c r="G721" s="523"/>
      <c r="H721" s="523"/>
      <c r="I721" s="523"/>
      <c r="J721" s="150"/>
      <c r="K721" s="151"/>
      <c r="L721" s="281"/>
      <c r="M721" s="523"/>
      <c r="N721" s="523"/>
      <c r="O721" s="523" t="s">
        <v>482</v>
      </c>
      <c r="P721" s="291"/>
      <c r="Q721" s="151"/>
      <c r="R721" s="281"/>
      <c r="S721" s="523"/>
      <c r="T721" s="523"/>
      <c r="U721" s="523" t="s">
        <v>482</v>
      </c>
      <c r="V721" s="291"/>
      <c r="W721" s="151"/>
      <c r="X721" s="281"/>
      <c r="Y721" s="523"/>
      <c r="Z721" s="523"/>
      <c r="AA721" s="523" t="s">
        <v>482</v>
      </c>
      <c r="AB721" s="291"/>
      <c r="AC721" s="151"/>
      <c r="AD721" s="529"/>
      <c r="AE721" s="523"/>
      <c r="AF721" s="523"/>
      <c r="AG721" s="523" t="s">
        <v>482</v>
      </c>
      <c r="AH721" s="291"/>
      <c r="AI721" s="523"/>
      <c r="AJ721" s="529"/>
      <c r="AK721" s="523"/>
      <c r="AL721" s="523"/>
      <c r="AM721" s="523" t="s">
        <v>482</v>
      </c>
      <c r="AN721" s="291"/>
      <c r="AO721" s="523"/>
      <c r="AP721" s="529"/>
      <c r="AQ721" s="631"/>
      <c r="AS721" s="278"/>
      <c r="AT721" s="278"/>
      <c r="AU721" s="278"/>
      <c r="AV721" s="278"/>
      <c r="AW721" s="278"/>
      <c r="AX721" s="278"/>
      <c r="AY721" s="278"/>
    </row>
    <row r="722" spans="1:51" ht="30">
      <c r="A722" s="637">
        <v>83</v>
      </c>
      <c r="B722" s="524" t="s">
        <v>1081</v>
      </c>
      <c r="C722" s="525" t="s">
        <v>1082</v>
      </c>
      <c r="D722" s="526" t="s">
        <v>1083</v>
      </c>
      <c r="E722" s="527">
        <v>7.4999999999999997E-2</v>
      </c>
      <c r="F722" s="528">
        <v>450</v>
      </c>
      <c r="G722" s="523"/>
      <c r="H722" s="523"/>
      <c r="I722" s="523"/>
      <c r="J722" s="150"/>
      <c r="K722" s="151"/>
      <c r="L722" s="281"/>
      <c r="M722" s="523"/>
      <c r="N722" s="523"/>
      <c r="O722" s="523" t="s">
        <v>482</v>
      </c>
      <c r="P722" s="291"/>
      <c r="Q722" s="151"/>
      <c r="R722" s="281"/>
      <c r="S722" s="523"/>
      <c r="T722" s="523"/>
      <c r="U722" s="523" t="s">
        <v>482</v>
      </c>
      <c r="V722" s="291"/>
      <c r="W722" s="151"/>
      <c r="X722" s="281"/>
      <c r="Y722" s="523"/>
      <c r="Z722" s="523"/>
      <c r="AA722" s="523" t="s">
        <v>482</v>
      </c>
      <c r="AB722" s="291"/>
      <c r="AC722" s="151"/>
      <c r="AD722" s="529"/>
      <c r="AE722" s="523"/>
      <c r="AF722" s="523"/>
      <c r="AG722" s="523" t="s">
        <v>482</v>
      </c>
      <c r="AH722" s="291"/>
      <c r="AI722" s="523"/>
      <c r="AJ722" s="529"/>
      <c r="AK722" s="523"/>
      <c r="AL722" s="523"/>
      <c r="AM722" s="523" t="s">
        <v>482</v>
      </c>
      <c r="AN722" s="291"/>
      <c r="AO722" s="523"/>
      <c r="AP722" s="529"/>
      <c r="AQ722" s="631"/>
      <c r="AS722" s="278"/>
      <c r="AT722" s="278"/>
      <c r="AU722" s="278"/>
      <c r="AV722" s="278"/>
      <c r="AW722" s="278"/>
      <c r="AX722" s="278"/>
      <c r="AY722" s="278"/>
    </row>
    <row r="723" spans="1:51" ht="30">
      <c r="A723" s="637">
        <v>84</v>
      </c>
      <c r="B723" s="524" t="s">
        <v>1084</v>
      </c>
      <c r="C723" s="525" t="s">
        <v>1085</v>
      </c>
      <c r="D723" s="526" t="s">
        <v>1086</v>
      </c>
      <c r="E723" s="527">
        <v>0.36199999999999999</v>
      </c>
      <c r="F723" s="528">
        <v>1991</v>
      </c>
      <c r="G723" s="523"/>
      <c r="H723" s="523"/>
      <c r="I723" s="523"/>
      <c r="J723" s="150"/>
      <c r="K723" s="151"/>
      <c r="L723" s="281"/>
      <c r="M723" s="523"/>
      <c r="N723" s="523"/>
      <c r="O723" s="523" t="s">
        <v>482</v>
      </c>
      <c r="P723" s="291"/>
      <c r="Q723" s="151"/>
      <c r="R723" s="281"/>
      <c r="S723" s="523"/>
      <c r="T723" s="523"/>
      <c r="U723" s="523" t="s">
        <v>482</v>
      </c>
      <c r="V723" s="291"/>
      <c r="W723" s="151"/>
      <c r="X723" s="281"/>
      <c r="Y723" s="523"/>
      <c r="Z723" s="523"/>
      <c r="AA723" s="523" t="s">
        <v>482</v>
      </c>
      <c r="AB723" s="291"/>
      <c r="AC723" s="151"/>
      <c r="AD723" s="529"/>
      <c r="AE723" s="523"/>
      <c r="AF723" s="523"/>
      <c r="AG723" s="523" t="s">
        <v>482</v>
      </c>
      <c r="AH723" s="291"/>
      <c r="AI723" s="523"/>
      <c r="AJ723" s="529"/>
      <c r="AK723" s="523"/>
      <c r="AL723" s="523"/>
      <c r="AM723" s="523" t="s">
        <v>482</v>
      </c>
      <c r="AN723" s="291"/>
      <c r="AO723" s="523"/>
      <c r="AP723" s="529"/>
      <c r="AQ723" s="631"/>
      <c r="AS723" s="278"/>
      <c r="AT723" s="278"/>
      <c r="AU723" s="278"/>
      <c r="AV723" s="278"/>
      <c r="AW723" s="278"/>
      <c r="AX723" s="278"/>
      <c r="AY723" s="278"/>
    </row>
    <row r="724" spans="1:51" ht="30">
      <c r="A724" s="637">
        <v>85</v>
      </c>
      <c r="B724" s="524" t="s">
        <v>1087</v>
      </c>
      <c r="C724" s="525" t="s">
        <v>1088</v>
      </c>
      <c r="D724" s="526" t="s">
        <v>1089</v>
      </c>
      <c r="E724" s="527">
        <v>0.86299999999999999</v>
      </c>
      <c r="F724" s="528">
        <v>5178</v>
      </c>
      <c r="G724" s="523"/>
      <c r="H724" s="523"/>
      <c r="I724" s="523"/>
      <c r="J724" s="150"/>
      <c r="K724" s="151"/>
      <c r="L724" s="281"/>
      <c r="M724" s="523"/>
      <c r="N724" s="523"/>
      <c r="O724" s="523" t="s">
        <v>482</v>
      </c>
      <c r="P724" s="291"/>
      <c r="Q724" s="151"/>
      <c r="R724" s="281"/>
      <c r="S724" s="523"/>
      <c r="T724" s="523"/>
      <c r="U724" s="523" t="s">
        <v>482</v>
      </c>
      <c r="V724" s="291"/>
      <c r="W724" s="151"/>
      <c r="X724" s="281"/>
      <c r="Y724" s="523"/>
      <c r="Z724" s="523"/>
      <c r="AA724" s="523" t="s">
        <v>482</v>
      </c>
      <c r="AB724" s="291"/>
      <c r="AC724" s="151"/>
      <c r="AD724" s="529"/>
      <c r="AE724" s="523"/>
      <c r="AF724" s="523"/>
      <c r="AG724" s="523" t="s">
        <v>482</v>
      </c>
      <c r="AH724" s="291"/>
      <c r="AI724" s="523"/>
      <c r="AJ724" s="529"/>
      <c r="AK724" s="523"/>
      <c r="AL724" s="523"/>
      <c r="AM724" s="523" t="s">
        <v>482</v>
      </c>
      <c r="AN724" s="291"/>
      <c r="AO724" s="523"/>
      <c r="AP724" s="529"/>
      <c r="AQ724" s="631"/>
      <c r="AS724" s="278"/>
      <c r="AT724" s="278"/>
      <c r="AU724" s="278"/>
      <c r="AV724" s="278"/>
      <c r="AW724" s="278"/>
      <c r="AX724" s="278"/>
      <c r="AY724" s="278"/>
    </row>
    <row r="725" spans="1:51" ht="30">
      <c r="A725" s="637">
        <v>86</v>
      </c>
      <c r="B725" s="524" t="s">
        <v>1090</v>
      </c>
      <c r="C725" s="525" t="s">
        <v>1091</v>
      </c>
      <c r="D725" s="526" t="s">
        <v>1092</v>
      </c>
      <c r="E725" s="527">
        <v>0.1</v>
      </c>
      <c r="F725" s="528">
        <v>600</v>
      </c>
      <c r="G725" s="523"/>
      <c r="H725" s="523"/>
      <c r="I725" s="523"/>
      <c r="J725" s="150"/>
      <c r="K725" s="151"/>
      <c r="L725" s="281"/>
      <c r="M725" s="523"/>
      <c r="N725" s="523"/>
      <c r="O725" s="523" t="s">
        <v>482</v>
      </c>
      <c r="P725" s="291"/>
      <c r="Q725" s="151"/>
      <c r="R725" s="281"/>
      <c r="S725" s="523"/>
      <c r="T725" s="523"/>
      <c r="U725" s="523" t="s">
        <v>482</v>
      </c>
      <c r="V725" s="291"/>
      <c r="W725" s="151"/>
      <c r="X725" s="281"/>
      <c r="Y725" s="523"/>
      <c r="Z725" s="523"/>
      <c r="AA725" s="523" t="s">
        <v>482</v>
      </c>
      <c r="AB725" s="291"/>
      <c r="AC725" s="151"/>
      <c r="AD725" s="529"/>
      <c r="AE725" s="523"/>
      <c r="AF725" s="523"/>
      <c r="AG725" s="523" t="s">
        <v>482</v>
      </c>
      <c r="AH725" s="291"/>
      <c r="AI725" s="523"/>
      <c r="AJ725" s="529"/>
      <c r="AK725" s="523"/>
      <c r="AL725" s="523"/>
      <c r="AM725" s="523" t="s">
        <v>482</v>
      </c>
      <c r="AN725" s="291"/>
      <c r="AO725" s="523"/>
      <c r="AP725" s="529"/>
      <c r="AQ725" s="631"/>
      <c r="AS725" s="278"/>
      <c r="AT725" s="278"/>
      <c r="AU725" s="278"/>
      <c r="AV725" s="278"/>
      <c r="AW725" s="278"/>
      <c r="AX725" s="278"/>
      <c r="AY725" s="278"/>
    </row>
    <row r="726" spans="1:51" ht="19.5" customHeight="1">
      <c r="A726" s="637">
        <v>87</v>
      </c>
      <c r="B726" s="524" t="s">
        <v>1093</v>
      </c>
      <c r="C726" s="699" t="s">
        <v>1094</v>
      </c>
      <c r="D726" s="526" t="s">
        <v>1095</v>
      </c>
      <c r="E726" s="527">
        <v>5.8719999999999999</v>
      </c>
      <c r="F726" s="528">
        <v>35232</v>
      </c>
      <c r="G726" s="523"/>
      <c r="H726" s="523"/>
      <c r="I726" s="523"/>
      <c r="J726" s="150"/>
      <c r="K726" s="151"/>
      <c r="L726" s="281"/>
      <c r="M726" s="523"/>
      <c r="N726" s="523"/>
      <c r="O726" s="523" t="s">
        <v>482</v>
      </c>
      <c r="P726" s="291"/>
      <c r="Q726" s="151"/>
      <c r="R726" s="281"/>
      <c r="S726" s="523"/>
      <c r="T726" s="523"/>
      <c r="U726" s="523" t="s">
        <v>482</v>
      </c>
      <c r="V726" s="291"/>
      <c r="W726" s="151"/>
      <c r="X726" s="281"/>
      <c r="Y726" s="523"/>
      <c r="Z726" s="523"/>
      <c r="AA726" s="523" t="s">
        <v>482</v>
      </c>
      <c r="AB726" s="291"/>
      <c r="AC726" s="151"/>
      <c r="AD726" s="529"/>
      <c r="AE726" s="523"/>
      <c r="AF726" s="523"/>
      <c r="AG726" s="523" t="s">
        <v>482</v>
      </c>
      <c r="AH726" s="291"/>
      <c r="AI726" s="523"/>
      <c r="AJ726" s="529"/>
      <c r="AK726" s="523"/>
      <c r="AL726" s="523"/>
      <c r="AM726" s="523" t="s">
        <v>482</v>
      </c>
      <c r="AN726" s="291"/>
      <c r="AO726" s="523"/>
      <c r="AP726" s="529"/>
      <c r="AQ726" s="631"/>
      <c r="AS726" s="278"/>
      <c r="AT726" s="278"/>
      <c r="AU726" s="278"/>
      <c r="AV726" s="278"/>
      <c r="AW726" s="278"/>
      <c r="AX726" s="278"/>
      <c r="AY726" s="278"/>
    </row>
    <row r="727" spans="1:51" ht="17.25" customHeight="1">
      <c r="A727" s="637">
        <v>88</v>
      </c>
      <c r="B727" s="524" t="s">
        <v>1096</v>
      </c>
      <c r="C727" s="699" t="s">
        <v>1097</v>
      </c>
      <c r="D727" s="526" t="s">
        <v>1098</v>
      </c>
      <c r="E727" s="527">
        <v>5.8</v>
      </c>
      <c r="F727" s="528">
        <v>31900</v>
      </c>
      <c r="G727" s="523"/>
      <c r="H727" s="523"/>
      <c r="I727" s="523"/>
      <c r="J727" s="150"/>
      <c r="K727" s="151"/>
      <c r="L727" s="281"/>
      <c r="M727" s="523"/>
      <c r="N727" s="523"/>
      <c r="O727" s="523" t="s">
        <v>482</v>
      </c>
      <c r="P727" s="291"/>
      <c r="Q727" s="151"/>
      <c r="R727" s="281"/>
      <c r="S727" s="523"/>
      <c r="T727" s="523"/>
      <c r="U727" s="523" t="s">
        <v>482</v>
      </c>
      <c r="V727" s="291"/>
      <c r="W727" s="151"/>
      <c r="X727" s="281"/>
      <c r="Y727" s="523"/>
      <c r="Z727" s="523"/>
      <c r="AA727" s="523" t="s">
        <v>482</v>
      </c>
      <c r="AB727" s="291"/>
      <c r="AC727" s="151"/>
      <c r="AD727" s="529"/>
      <c r="AE727" s="523"/>
      <c r="AF727" s="523"/>
      <c r="AG727" s="523" t="s">
        <v>482</v>
      </c>
      <c r="AH727" s="291"/>
      <c r="AI727" s="523"/>
      <c r="AJ727" s="529"/>
      <c r="AK727" s="523"/>
      <c r="AL727" s="523"/>
      <c r="AM727" s="523" t="s">
        <v>482</v>
      </c>
      <c r="AN727" s="291"/>
      <c r="AO727" s="523"/>
      <c r="AP727" s="529"/>
      <c r="AQ727" s="631"/>
      <c r="AS727" s="278"/>
      <c r="AT727" s="278"/>
      <c r="AU727" s="278"/>
      <c r="AV727" s="278"/>
      <c r="AW727" s="278"/>
      <c r="AX727" s="278"/>
      <c r="AY727" s="278"/>
    </row>
    <row r="728" spans="1:51" ht="49.5" customHeight="1">
      <c r="A728" s="637">
        <v>89</v>
      </c>
      <c r="B728" s="524" t="s">
        <v>1099</v>
      </c>
      <c r="C728" s="699" t="s">
        <v>1100</v>
      </c>
      <c r="D728" s="526" t="s">
        <v>1101</v>
      </c>
      <c r="E728" s="527">
        <v>18.251000000000001</v>
      </c>
      <c r="F728" s="528">
        <v>109506</v>
      </c>
      <c r="G728" s="523"/>
      <c r="H728" s="523"/>
      <c r="I728" s="523"/>
      <c r="J728" s="150"/>
      <c r="K728" s="151"/>
      <c r="L728" s="281"/>
      <c r="M728" s="523"/>
      <c r="N728" s="523"/>
      <c r="O728" s="523" t="s">
        <v>482</v>
      </c>
      <c r="P728" s="291"/>
      <c r="Q728" s="151"/>
      <c r="R728" s="281"/>
      <c r="S728" s="523"/>
      <c r="T728" s="523"/>
      <c r="U728" s="523" t="s">
        <v>482</v>
      </c>
      <c r="V728" s="291"/>
      <c r="W728" s="151"/>
      <c r="X728" s="281"/>
      <c r="Y728" s="523"/>
      <c r="Z728" s="523"/>
      <c r="AA728" s="523" t="s">
        <v>482</v>
      </c>
      <c r="AB728" s="291"/>
      <c r="AC728" s="151"/>
      <c r="AD728" s="529"/>
      <c r="AE728" s="523"/>
      <c r="AF728" s="523"/>
      <c r="AG728" s="523" t="s">
        <v>482</v>
      </c>
      <c r="AH728" s="291"/>
      <c r="AI728" s="523"/>
      <c r="AJ728" s="529"/>
      <c r="AK728" s="523"/>
      <c r="AL728" s="523"/>
      <c r="AM728" s="523" t="s">
        <v>482</v>
      </c>
      <c r="AN728" s="291"/>
      <c r="AO728" s="523"/>
      <c r="AP728" s="529"/>
      <c r="AQ728" s="631"/>
    </row>
    <row r="729" spans="1:51" ht="45">
      <c r="A729" s="637">
        <v>90</v>
      </c>
      <c r="B729" s="524" t="s">
        <v>1102</v>
      </c>
      <c r="C729" s="699" t="s">
        <v>1103</v>
      </c>
      <c r="D729" s="526" t="s">
        <v>1104</v>
      </c>
      <c r="E729" s="527">
        <v>1.4630000000000001</v>
      </c>
      <c r="F729" s="528">
        <v>8778</v>
      </c>
      <c r="G729" s="523"/>
      <c r="H729" s="523"/>
      <c r="I729" s="523"/>
      <c r="J729" s="150"/>
      <c r="K729" s="151"/>
      <c r="L729" s="281"/>
      <c r="M729" s="523"/>
      <c r="N729" s="523"/>
      <c r="O729" s="523" t="s">
        <v>482</v>
      </c>
      <c r="P729" s="291"/>
      <c r="Q729" s="151"/>
      <c r="R729" s="281"/>
      <c r="S729" s="523"/>
      <c r="T729" s="523"/>
      <c r="U729" s="523" t="s">
        <v>482</v>
      </c>
      <c r="V729" s="291"/>
      <c r="W729" s="151"/>
      <c r="X729" s="281"/>
      <c r="Y729" s="523"/>
      <c r="Z729" s="523"/>
      <c r="AA729" s="523" t="s">
        <v>482</v>
      </c>
      <c r="AB729" s="291"/>
      <c r="AC729" s="151"/>
      <c r="AD729" s="529"/>
      <c r="AE729" s="523"/>
      <c r="AF729" s="523"/>
      <c r="AG729" s="523" t="s">
        <v>482</v>
      </c>
      <c r="AH729" s="291"/>
      <c r="AI729" s="523"/>
      <c r="AJ729" s="529"/>
      <c r="AK729" s="523"/>
      <c r="AL729" s="523"/>
      <c r="AM729" s="523" t="s">
        <v>482</v>
      </c>
      <c r="AN729" s="291"/>
      <c r="AO729" s="523"/>
      <c r="AP729" s="529"/>
      <c r="AQ729" s="631"/>
    </row>
    <row r="730" spans="1:51" ht="45">
      <c r="A730" s="637">
        <v>91</v>
      </c>
      <c r="B730" s="524" t="s">
        <v>1105</v>
      </c>
      <c r="C730" s="699" t="s">
        <v>1106</v>
      </c>
      <c r="D730" s="526" t="s">
        <v>1107</v>
      </c>
      <c r="E730" s="527">
        <v>3.7450000000000001</v>
      </c>
      <c r="F730" s="528">
        <v>20597.5</v>
      </c>
      <c r="G730" s="523"/>
      <c r="H730" s="523"/>
      <c r="I730" s="523"/>
      <c r="J730" s="150"/>
      <c r="K730" s="151"/>
      <c r="L730" s="281"/>
      <c r="M730" s="523"/>
      <c r="N730" s="523"/>
      <c r="O730" s="523" t="s">
        <v>482</v>
      </c>
      <c r="P730" s="291"/>
      <c r="Q730" s="151"/>
      <c r="R730" s="281"/>
      <c r="S730" s="523"/>
      <c r="T730" s="523"/>
      <c r="U730" s="523" t="s">
        <v>482</v>
      </c>
      <c r="V730" s="291"/>
      <c r="W730" s="151"/>
      <c r="X730" s="281"/>
      <c r="Y730" s="523"/>
      <c r="Z730" s="523"/>
      <c r="AA730" s="523" t="s">
        <v>482</v>
      </c>
      <c r="AB730" s="291"/>
      <c r="AC730" s="151"/>
      <c r="AD730" s="529"/>
      <c r="AE730" s="523"/>
      <c r="AF730" s="523"/>
      <c r="AG730" s="523" t="s">
        <v>482</v>
      </c>
      <c r="AH730" s="291"/>
      <c r="AI730" s="523"/>
      <c r="AJ730" s="529"/>
      <c r="AK730" s="523"/>
      <c r="AL730" s="523"/>
      <c r="AM730" s="523" t="s">
        <v>482</v>
      </c>
      <c r="AN730" s="291"/>
      <c r="AO730" s="523"/>
      <c r="AP730" s="529"/>
      <c r="AQ730" s="631"/>
    </row>
    <row r="731" spans="1:51" ht="30">
      <c r="A731" s="637">
        <v>92</v>
      </c>
      <c r="B731" s="524" t="s">
        <v>1108</v>
      </c>
      <c r="C731" s="699" t="s">
        <v>1109</v>
      </c>
      <c r="D731" s="526" t="s">
        <v>1110</v>
      </c>
      <c r="E731" s="527">
        <v>2.5630000000000002</v>
      </c>
      <c r="F731" s="528">
        <v>48697</v>
      </c>
      <c r="G731" s="523"/>
      <c r="H731" s="523"/>
      <c r="I731" s="523"/>
      <c r="J731" s="150"/>
      <c r="K731" s="151"/>
      <c r="L731" s="281"/>
      <c r="M731" s="523"/>
      <c r="N731" s="523"/>
      <c r="O731" s="523" t="s">
        <v>482</v>
      </c>
      <c r="P731" s="291"/>
      <c r="Q731" s="151"/>
      <c r="R731" s="281"/>
      <c r="S731" s="523"/>
      <c r="T731" s="523"/>
      <c r="U731" s="523" t="s">
        <v>482</v>
      </c>
      <c r="V731" s="291"/>
      <c r="W731" s="151"/>
      <c r="X731" s="281"/>
      <c r="Y731" s="523"/>
      <c r="Z731" s="523"/>
      <c r="AA731" s="523" t="s">
        <v>482</v>
      </c>
      <c r="AB731" s="291"/>
      <c r="AC731" s="151"/>
      <c r="AD731" s="529"/>
      <c r="AE731" s="523"/>
      <c r="AF731" s="523"/>
      <c r="AG731" s="523" t="s">
        <v>482</v>
      </c>
      <c r="AH731" s="291"/>
      <c r="AI731" s="523"/>
      <c r="AJ731" s="529"/>
      <c r="AK731" s="523"/>
      <c r="AL731" s="523"/>
      <c r="AM731" s="523" t="s">
        <v>482</v>
      </c>
      <c r="AN731" s="291"/>
      <c r="AO731" s="523"/>
      <c r="AP731" s="529"/>
      <c r="AQ731" s="631"/>
    </row>
    <row r="732" spans="1:51" ht="18" customHeight="1">
      <c r="A732" s="637">
        <v>93</v>
      </c>
      <c r="B732" s="524" t="s">
        <v>1111</v>
      </c>
      <c r="C732" s="699" t="s">
        <v>1112</v>
      </c>
      <c r="D732" s="526" t="s">
        <v>1113</v>
      </c>
      <c r="E732" s="527">
        <v>17.079999999999998</v>
      </c>
      <c r="F732" s="528">
        <v>123488.40000000001</v>
      </c>
      <c r="G732" s="523"/>
      <c r="H732" s="523"/>
      <c r="I732" s="523"/>
      <c r="J732" s="150"/>
      <c r="K732" s="151"/>
      <c r="L732" s="281"/>
      <c r="M732" s="523"/>
      <c r="N732" s="523"/>
      <c r="O732" s="523" t="s">
        <v>482</v>
      </c>
      <c r="P732" s="291"/>
      <c r="Q732" s="151"/>
      <c r="R732" s="281"/>
      <c r="S732" s="523"/>
      <c r="T732" s="523"/>
      <c r="U732" s="523" t="s">
        <v>482</v>
      </c>
      <c r="V732" s="291"/>
      <c r="W732" s="151"/>
      <c r="X732" s="281"/>
      <c r="Y732" s="523"/>
      <c r="Z732" s="523"/>
      <c r="AA732" s="523" t="s">
        <v>482</v>
      </c>
      <c r="AB732" s="291"/>
      <c r="AC732" s="151"/>
      <c r="AD732" s="529"/>
      <c r="AE732" s="523"/>
      <c r="AF732" s="523"/>
      <c r="AG732" s="523" t="s">
        <v>482</v>
      </c>
      <c r="AH732" s="291"/>
      <c r="AI732" s="523"/>
      <c r="AJ732" s="529"/>
      <c r="AK732" s="523"/>
      <c r="AL732" s="523"/>
      <c r="AM732" s="523" t="s">
        <v>482</v>
      </c>
      <c r="AN732" s="291"/>
      <c r="AO732" s="523"/>
      <c r="AP732" s="529"/>
      <c r="AQ732" s="631"/>
    </row>
    <row r="733" spans="1:51" ht="30">
      <c r="A733" s="637">
        <v>94</v>
      </c>
      <c r="B733" s="524" t="s">
        <v>1114</v>
      </c>
      <c r="C733" s="699" t="s">
        <v>1115</v>
      </c>
      <c r="D733" s="526" t="s">
        <v>1116</v>
      </c>
      <c r="E733" s="527">
        <v>0.74</v>
      </c>
      <c r="F733" s="528">
        <v>4588</v>
      </c>
      <c r="G733" s="523"/>
      <c r="H733" s="523"/>
      <c r="I733" s="523"/>
      <c r="J733" s="150"/>
      <c r="K733" s="151"/>
      <c r="L733" s="281"/>
      <c r="M733" s="523"/>
      <c r="N733" s="523"/>
      <c r="O733" s="523" t="s">
        <v>482</v>
      </c>
      <c r="P733" s="291"/>
      <c r="Q733" s="151"/>
      <c r="R733" s="281"/>
      <c r="S733" s="523"/>
      <c r="T733" s="523"/>
      <c r="U733" s="523" t="s">
        <v>482</v>
      </c>
      <c r="V733" s="291"/>
      <c r="W733" s="151"/>
      <c r="X733" s="281"/>
      <c r="Y733" s="523"/>
      <c r="Z733" s="523"/>
      <c r="AA733" s="523" t="s">
        <v>482</v>
      </c>
      <c r="AB733" s="291"/>
      <c r="AC733" s="151"/>
      <c r="AD733" s="529"/>
      <c r="AE733" s="523"/>
      <c r="AF733" s="523"/>
      <c r="AG733" s="523" t="s">
        <v>482</v>
      </c>
      <c r="AH733" s="291"/>
      <c r="AI733" s="523"/>
      <c r="AJ733" s="529"/>
      <c r="AK733" s="523"/>
      <c r="AL733" s="523"/>
      <c r="AM733" s="523" t="s">
        <v>482</v>
      </c>
      <c r="AN733" s="291"/>
      <c r="AO733" s="523"/>
      <c r="AP733" s="529"/>
      <c r="AQ733" s="631"/>
    </row>
    <row r="734" spans="1:51" ht="17.25" customHeight="1">
      <c r="A734" s="637">
        <v>95</v>
      </c>
      <c r="B734" s="524" t="s">
        <v>1117</v>
      </c>
      <c r="C734" s="699" t="s">
        <v>1118</v>
      </c>
      <c r="D734" s="526" t="s">
        <v>1119</v>
      </c>
      <c r="E734" s="527">
        <v>0.76</v>
      </c>
      <c r="F734" s="528">
        <v>5320</v>
      </c>
      <c r="G734" s="523"/>
      <c r="H734" s="523"/>
      <c r="I734" s="523"/>
      <c r="J734" s="150"/>
      <c r="K734" s="151"/>
      <c r="L734" s="281"/>
      <c r="M734" s="523"/>
      <c r="N734" s="523"/>
      <c r="O734" s="523" t="s">
        <v>482</v>
      </c>
      <c r="P734" s="291"/>
      <c r="Q734" s="151"/>
      <c r="R734" s="281"/>
      <c r="S734" s="523"/>
      <c r="T734" s="523"/>
      <c r="U734" s="523" t="s">
        <v>482</v>
      </c>
      <c r="V734" s="291"/>
      <c r="W734" s="151"/>
      <c r="X734" s="281"/>
      <c r="Y734" s="523"/>
      <c r="Z734" s="523"/>
      <c r="AA734" s="523" t="s">
        <v>482</v>
      </c>
      <c r="AB734" s="291"/>
      <c r="AC734" s="151"/>
      <c r="AD734" s="529"/>
      <c r="AE734" s="523"/>
      <c r="AF734" s="523"/>
      <c r="AG734" s="523" t="s">
        <v>482</v>
      </c>
      <c r="AH734" s="291"/>
      <c r="AI734" s="523"/>
      <c r="AJ734" s="529"/>
      <c r="AK734" s="523"/>
      <c r="AL734" s="523"/>
      <c r="AM734" s="523" t="s">
        <v>482</v>
      </c>
      <c r="AN734" s="291"/>
      <c r="AO734" s="523"/>
      <c r="AP734" s="529"/>
      <c r="AQ734" s="631"/>
    </row>
    <row r="735" spans="1:51" ht="45.75" customHeight="1">
      <c r="A735" s="637">
        <v>96</v>
      </c>
      <c r="B735" s="524" t="s">
        <v>1120</v>
      </c>
      <c r="C735" s="699" t="s">
        <v>1121</v>
      </c>
      <c r="D735" s="526" t="s">
        <v>1122</v>
      </c>
      <c r="E735" s="527">
        <v>15.29</v>
      </c>
      <c r="F735" s="528">
        <v>91740</v>
      </c>
      <c r="G735" s="523"/>
      <c r="H735" s="523"/>
      <c r="I735" s="523"/>
      <c r="J735" s="150"/>
      <c r="K735" s="151"/>
      <c r="L735" s="281"/>
      <c r="M735" s="523"/>
      <c r="N735" s="523"/>
      <c r="O735" s="523" t="s">
        <v>482</v>
      </c>
      <c r="P735" s="291"/>
      <c r="Q735" s="151"/>
      <c r="R735" s="281"/>
      <c r="S735" s="523"/>
      <c r="T735" s="523"/>
      <c r="U735" s="523" t="s">
        <v>482</v>
      </c>
      <c r="V735" s="291"/>
      <c r="W735" s="151"/>
      <c r="X735" s="281"/>
      <c r="Y735" s="523"/>
      <c r="Z735" s="523"/>
      <c r="AA735" s="523" t="s">
        <v>482</v>
      </c>
      <c r="AB735" s="291"/>
      <c r="AC735" s="151"/>
      <c r="AD735" s="529"/>
      <c r="AE735" s="523"/>
      <c r="AF735" s="523"/>
      <c r="AG735" s="523" t="s">
        <v>482</v>
      </c>
      <c r="AH735" s="291"/>
      <c r="AI735" s="523"/>
      <c r="AJ735" s="529"/>
      <c r="AK735" s="523"/>
      <c r="AL735" s="523"/>
      <c r="AM735" s="523" t="s">
        <v>482</v>
      </c>
      <c r="AN735" s="291"/>
      <c r="AO735" s="523"/>
      <c r="AP735" s="529"/>
      <c r="AQ735" s="631"/>
    </row>
    <row r="736" spans="1:51" ht="48" customHeight="1">
      <c r="A736" s="637">
        <v>97</v>
      </c>
      <c r="B736" s="524" t="s">
        <v>1123</v>
      </c>
      <c r="C736" s="699" t="s">
        <v>1124</v>
      </c>
      <c r="D736" s="526" t="s">
        <v>1125</v>
      </c>
      <c r="E736" s="527">
        <v>0.46</v>
      </c>
      <c r="F736" s="528">
        <v>2760</v>
      </c>
      <c r="G736" s="523"/>
      <c r="H736" s="523"/>
      <c r="I736" s="523"/>
      <c r="J736" s="150"/>
      <c r="K736" s="151"/>
      <c r="L736" s="281"/>
      <c r="M736" s="523"/>
      <c r="N736" s="523"/>
      <c r="O736" s="523" t="s">
        <v>482</v>
      </c>
      <c r="P736" s="291"/>
      <c r="Q736" s="151"/>
      <c r="R736" s="281"/>
      <c r="S736" s="523"/>
      <c r="T736" s="523"/>
      <c r="U736" s="523" t="s">
        <v>482</v>
      </c>
      <c r="V736" s="291"/>
      <c r="W736" s="151"/>
      <c r="X736" s="281"/>
      <c r="Y736" s="523"/>
      <c r="Z736" s="523"/>
      <c r="AA736" s="523" t="s">
        <v>482</v>
      </c>
      <c r="AB736" s="291"/>
      <c r="AC736" s="151"/>
      <c r="AD736" s="529"/>
      <c r="AE736" s="523"/>
      <c r="AF736" s="523"/>
      <c r="AG736" s="523" t="s">
        <v>482</v>
      </c>
      <c r="AH736" s="291"/>
      <c r="AI736" s="523"/>
      <c r="AJ736" s="529"/>
      <c r="AK736" s="523"/>
      <c r="AL736" s="523"/>
      <c r="AM736" s="523" t="s">
        <v>482</v>
      </c>
      <c r="AN736" s="291"/>
      <c r="AO736" s="523"/>
      <c r="AP736" s="529"/>
      <c r="AQ736" s="631"/>
    </row>
    <row r="737" spans="1:43" ht="60">
      <c r="A737" s="637">
        <v>98</v>
      </c>
      <c r="B737" s="524" t="s">
        <v>1126</v>
      </c>
      <c r="C737" s="525" t="s">
        <v>1127</v>
      </c>
      <c r="D737" s="526" t="s">
        <v>1128</v>
      </c>
      <c r="E737" s="527">
        <v>0.92</v>
      </c>
      <c r="F737" s="528">
        <v>5520</v>
      </c>
      <c r="G737" s="523"/>
      <c r="H737" s="523"/>
      <c r="I737" s="523"/>
      <c r="J737" s="150"/>
      <c r="K737" s="151"/>
      <c r="L737" s="281"/>
      <c r="M737" s="523"/>
      <c r="N737" s="523"/>
      <c r="O737" s="523" t="s">
        <v>482</v>
      </c>
      <c r="P737" s="291"/>
      <c r="Q737" s="151"/>
      <c r="R737" s="281"/>
      <c r="S737" s="523"/>
      <c r="T737" s="523"/>
      <c r="U737" s="523" t="s">
        <v>482</v>
      </c>
      <c r="V737" s="291"/>
      <c r="W737" s="151"/>
      <c r="X737" s="281"/>
      <c r="Y737" s="523"/>
      <c r="Z737" s="523"/>
      <c r="AA737" s="523" t="s">
        <v>482</v>
      </c>
      <c r="AB737" s="291"/>
      <c r="AC737" s="151"/>
      <c r="AD737" s="529"/>
      <c r="AE737" s="523"/>
      <c r="AF737" s="523"/>
      <c r="AG737" s="523" t="s">
        <v>482</v>
      </c>
      <c r="AH737" s="291"/>
      <c r="AI737" s="523"/>
      <c r="AJ737" s="529"/>
      <c r="AK737" s="523"/>
      <c r="AL737" s="523"/>
      <c r="AM737" s="523" t="s">
        <v>482</v>
      </c>
      <c r="AN737" s="291"/>
      <c r="AO737" s="523"/>
      <c r="AP737" s="529"/>
      <c r="AQ737" s="631"/>
    </row>
    <row r="738" spans="1:43" ht="75">
      <c r="A738" s="637">
        <v>99</v>
      </c>
      <c r="B738" s="524" t="s">
        <v>1129</v>
      </c>
      <c r="C738" s="525" t="s">
        <v>1130</v>
      </c>
      <c r="D738" s="526" t="s">
        <v>1131</v>
      </c>
      <c r="E738" s="527">
        <v>1.4</v>
      </c>
      <c r="F738" s="528">
        <v>7000</v>
      </c>
      <c r="G738" s="523"/>
      <c r="H738" s="523"/>
      <c r="I738" s="523"/>
      <c r="J738" s="150"/>
      <c r="K738" s="151"/>
      <c r="L738" s="281"/>
      <c r="M738" s="523"/>
      <c r="N738" s="523"/>
      <c r="O738" s="523" t="s">
        <v>482</v>
      </c>
      <c r="P738" s="291"/>
      <c r="Q738" s="151"/>
      <c r="R738" s="281"/>
      <c r="S738" s="523"/>
      <c r="T738" s="523"/>
      <c r="U738" s="523" t="s">
        <v>482</v>
      </c>
      <c r="V738" s="291"/>
      <c r="W738" s="151"/>
      <c r="X738" s="281"/>
      <c r="Y738" s="523"/>
      <c r="Z738" s="523"/>
      <c r="AA738" s="523" t="s">
        <v>482</v>
      </c>
      <c r="AB738" s="291"/>
      <c r="AC738" s="151"/>
      <c r="AD738" s="529"/>
      <c r="AE738" s="523"/>
      <c r="AF738" s="523"/>
      <c r="AG738" s="523" t="s">
        <v>482</v>
      </c>
      <c r="AH738" s="291"/>
      <c r="AI738" s="523"/>
      <c r="AJ738" s="529"/>
      <c r="AK738" s="523"/>
      <c r="AL738" s="523"/>
      <c r="AM738" s="523" t="s">
        <v>482</v>
      </c>
      <c r="AN738" s="291"/>
      <c r="AO738" s="523"/>
      <c r="AP738" s="529"/>
      <c r="AQ738" s="631"/>
    </row>
    <row r="739" spans="1:43" ht="75">
      <c r="A739" s="637">
        <v>100</v>
      </c>
      <c r="B739" s="524" t="s">
        <v>1132</v>
      </c>
      <c r="C739" s="525" t="s">
        <v>1133</v>
      </c>
      <c r="D739" s="526" t="s">
        <v>1134</v>
      </c>
      <c r="E739" s="527">
        <v>16.45</v>
      </c>
      <c r="F739" s="528">
        <v>98700</v>
      </c>
      <c r="G739" s="523"/>
      <c r="H739" s="523"/>
      <c r="I739" s="523"/>
      <c r="J739" s="150"/>
      <c r="K739" s="151"/>
      <c r="L739" s="281"/>
      <c r="M739" s="523"/>
      <c r="N739" s="523"/>
      <c r="O739" s="523" t="s">
        <v>482</v>
      </c>
      <c r="P739" s="291"/>
      <c r="Q739" s="151"/>
      <c r="R739" s="281"/>
      <c r="S739" s="523"/>
      <c r="T739" s="523"/>
      <c r="U739" s="523" t="s">
        <v>482</v>
      </c>
      <c r="V739" s="291"/>
      <c r="W739" s="151"/>
      <c r="X739" s="281"/>
      <c r="Y739" s="523"/>
      <c r="Z739" s="523"/>
      <c r="AA739" s="523" t="s">
        <v>482</v>
      </c>
      <c r="AB739" s="291"/>
      <c r="AC739" s="151"/>
      <c r="AD739" s="529"/>
      <c r="AE739" s="523"/>
      <c r="AF739" s="523"/>
      <c r="AG739" s="523" t="s">
        <v>482</v>
      </c>
      <c r="AH739" s="291"/>
      <c r="AI739" s="523"/>
      <c r="AJ739" s="529"/>
      <c r="AK739" s="523"/>
      <c r="AL739" s="523"/>
      <c r="AM739" s="523" t="s">
        <v>482</v>
      </c>
      <c r="AN739" s="291"/>
      <c r="AO739" s="523"/>
      <c r="AP739" s="529"/>
      <c r="AQ739" s="631"/>
    </row>
    <row r="740" spans="1:43" ht="78" customHeight="1">
      <c r="A740" s="637">
        <v>101</v>
      </c>
      <c r="B740" s="524" t="s">
        <v>1135</v>
      </c>
      <c r="C740" s="699" t="s">
        <v>1136</v>
      </c>
      <c r="D740" s="526" t="s">
        <v>1137</v>
      </c>
      <c r="E740" s="527">
        <v>1.52</v>
      </c>
      <c r="F740" s="528">
        <v>8664</v>
      </c>
      <c r="G740" s="523"/>
      <c r="H740" s="523"/>
      <c r="I740" s="523"/>
      <c r="J740" s="150"/>
      <c r="K740" s="151"/>
      <c r="L740" s="281"/>
      <c r="M740" s="523"/>
      <c r="N740" s="523"/>
      <c r="O740" s="523" t="s">
        <v>482</v>
      </c>
      <c r="P740" s="291"/>
      <c r="Q740" s="151"/>
      <c r="R740" s="281"/>
      <c r="S740" s="523"/>
      <c r="T740" s="523"/>
      <c r="U740" s="523" t="s">
        <v>482</v>
      </c>
      <c r="V740" s="291"/>
      <c r="W740" s="151"/>
      <c r="X740" s="281"/>
      <c r="Y740" s="523"/>
      <c r="Z740" s="523"/>
      <c r="AA740" s="523" t="s">
        <v>482</v>
      </c>
      <c r="AB740" s="291"/>
      <c r="AC740" s="151"/>
      <c r="AD740" s="529"/>
      <c r="AE740" s="523"/>
      <c r="AF740" s="523"/>
      <c r="AG740" s="523" t="s">
        <v>482</v>
      </c>
      <c r="AH740" s="291"/>
      <c r="AI740" s="523"/>
      <c r="AJ740" s="529"/>
      <c r="AK740" s="523"/>
      <c r="AL740" s="523"/>
      <c r="AM740" s="523" t="s">
        <v>482</v>
      </c>
      <c r="AN740" s="291"/>
      <c r="AO740" s="523"/>
      <c r="AP740" s="529"/>
      <c r="AQ740" s="631"/>
    </row>
    <row r="741" spans="1:43" ht="30">
      <c r="A741" s="637">
        <v>102</v>
      </c>
      <c r="B741" s="524" t="s">
        <v>1138</v>
      </c>
      <c r="C741" s="525" t="s">
        <v>1139</v>
      </c>
      <c r="D741" s="526" t="s">
        <v>1140</v>
      </c>
      <c r="E741" s="527">
        <v>0.14000000000000001</v>
      </c>
      <c r="F741" s="528">
        <v>840</v>
      </c>
      <c r="G741" s="523"/>
      <c r="H741" s="523"/>
      <c r="I741" s="523"/>
      <c r="J741" s="150"/>
      <c r="K741" s="151"/>
      <c r="L741" s="281"/>
      <c r="M741" s="523"/>
      <c r="N741" s="523"/>
      <c r="O741" s="523" t="s">
        <v>482</v>
      </c>
      <c r="P741" s="291"/>
      <c r="Q741" s="151"/>
      <c r="R741" s="281"/>
      <c r="S741" s="523"/>
      <c r="T741" s="523"/>
      <c r="U741" s="523" t="s">
        <v>482</v>
      </c>
      <c r="V741" s="291"/>
      <c r="W741" s="151"/>
      <c r="X741" s="281"/>
      <c r="Y741" s="523"/>
      <c r="Z741" s="523"/>
      <c r="AA741" s="523" t="s">
        <v>482</v>
      </c>
      <c r="AB741" s="291"/>
      <c r="AC741" s="151"/>
      <c r="AD741" s="529"/>
      <c r="AE741" s="523"/>
      <c r="AF741" s="523"/>
      <c r="AG741" s="523" t="s">
        <v>482</v>
      </c>
      <c r="AH741" s="291"/>
      <c r="AI741" s="523"/>
      <c r="AJ741" s="529"/>
      <c r="AK741" s="523"/>
      <c r="AL741" s="523"/>
      <c r="AM741" s="523" t="s">
        <v>482</v>
      </c>
      <c r="AN741" s="291"/>
      <c r="AO741" s="523"/>
      <c r="AP741" s="529"/>
      <c r="AQ741" s="631"/>
    </row>
    <row r="742" spans="1:43" ht="30">
      <c r="A742" s="637">
        <v>103</v>
      </c>
      <c r="B742" s="524" t="s">
        <v>1141</v>
      </c>
      <c r="C742" s="525" t="s">
        <v>1142</v>
      </c>
      <c r="D742" s="526" t="s">
        <v>1143</v>
      </c>
      <c r="E742" s="527">
        <v>19.239999999999998</v>
      </c>
      <c r="F742" s="528">
        <v>115440</v>
      </c>
      <c r="G742" s="523"/>
      <c r="H742" s="523"/>
      <c r="I742" s="523"/>
      <c r="J742" s="150"/>
      <c r="K742" s="151"/>
      <c r="L742" s="281"/>
      <c r="M742" s="523"/>
      <c r="N742" s="523"/>
      <c r="O742" s="523" t="s">
        <v>482</v>
      </c>
      <c r="P742" s="291"/>
      <c r="Q742" s="151"/>
      <c r="R742" s="281"/>
      <c r="S742" s="523"/>
      <c r="T742" s="523"/>
      <c r="U742" s="523" t="s">
        <v>482</v>
      </c>
      <c r="V742" s="291"/>
      <c r="W742" s="151"/>
      <c r="X742" s="281"/>
      <c r="Y742" s="523"/>
      <c r="Z742" s="523"/>
      <c r="AA742" s="523" t="s">
        <v>482</v>
      </c>
      <c r="AB742" s="291"/>
      <c r="AC742" s="151"/>
      <c r="AD742" s="529"/>
      <c r="AE742" s="523"/>
      <c r="AF742" s="523"/>
      <c r="AG742" s="523"/>
      <c r="AH742" s="291"/>
      <c r="AI742" s="523"/>
      <c r="AJ742" s="529"/>
      <c r="AK742" s="523"/>
      <c r="AL742" s="523"/>
      <c r="AM742" s="523" t="s">
        <v>482</v>
      </c>
      <c r="AN742" s="291"/>
      <c r="AO742" s="523"/>
      <c r="AP742" s="529"/>
      <c r="AQ742" s="631"/>
    </row>
    <row r="743" spans="1:43" ht="30">
      <c r="A743" s="637">
        <v>104</v>
      </c>
      <c r="B743" s="524" t="s">
        <v>1144</v>
      </c>
      <c r="C743" s="525" t="s">
        <v>1145</v>
      </c>
      <c r="D743" s="526" t="s">
        <v>1146</v>
      </c>
      <c r="E743" s="527">
        <v>6.98</v>
      </c>
      <c r="F743" s="528">
        <v>41880</v>
      </c>
      <c r="G743" s="523"/>
      <c r="H743" s="523"/>
      <c r="I743" s="523"/>
      <c r="J743" s="150"/>
      <c r="K743" s="151"/>
      <c r="L743" s="281"/>
      <c r="M743" s="523"/>
      <c r="N743" s="523"/>
      <c r="O743" s="523" t="s">
        <v>482</v>
      </c>
      <c r="P743" s="291"/>
      <c r="Q743" s="151"/>
      <c r="R743" s="281"/>
      <c r="S743" s="523"/>
      <c r="T743" s="523"/>
      <c r="U743" s="523" t="s">
        <v>482</v>
      </c>
      <c r="V743" s="291"/>
      <c r="W743" s="151"/>
      <c r="X743" s="281"/>
      <c r="Y743" s="523"/>
      <c r="Z743" s="523"/>
      <c r="AA743" s="523" t="s">
        <v>482</v>
      </c>
      <c r="AB743" s="291"/>
      <c r="AC743" s="151"/>
      <c r="AD743" s="529"/>
      <c r="AE743" s="523"/>
      <c r="AF743" s="523"/>
      <c r="AG743" s="523" t="s">
        <v>482</v>
      </c>
      <c r="AH743" s="291"/>
      <c r="AI743" s="523"/>
      <c r="AJ743" s="529"/>
      <c r="AK743" s="523"/>
      <c r="AL743" s="523"/>
      <c r="AM743" s="523" t="s">
        <v>482</v>
      </c>
      <c r="AN743" s="291"/>
      <c r="AO743" s="523"/>
      <c r="AP743" s="529"/>
      <c r="AQ743" s="631"/>
    </row>
    <row r="744" spans="1:43" ht="30">
      <c r="A744" s="637">
        <v>105</v>
      </c>
      <c r="B744" s="524" t="s">
        <v>1147</v>
      </c>
      <c r="C744" s="525" t="s">
        <v>1148</v>
      </c>
      <c r="D744" s="526" t="s">
        <v>1149</v>
      </c>
      <c r="E744" s="527">
        <v>1.28</v>
      </c>
      <c r="F744" s="528">
        <v>7680</v>
      </c>
      <c r="G744" s="523"/>
      <c r="H744" s="523"/>
      <c r="I744" s="523"/>
      <c r="J744" s="150"/>
      <c r="K744" s="151"/>
      <c r="L744" s="281"/>
      <c r="M744" s="523"/>
      <c r="N744" s="523"/>
      <c r="O744" s="523" t="s">
        <v>482</v>
      </c>
      <c r="P744" s="291"/>
      <c r="Q744" s="151"/>
      <c r="R744" s="281"/>
      <c r="S744" s="523"/>
      <c r="T744" s="523"/>
      <c r="U744" s="523" t="s">
        <v>482</v>
      </c>
      <c r="V744" s="291"/>
      <c r="W744" s="151"/>
      <c r="X744" s="281"/>
      <c r="Y744" s="523"/>
      <c r="Z744" s="523"/>
      <c r="AA744" s="523" t="s">
        <v>482</v>
      </c>
      <c r="AB744" s="291"/>
      <c r="AC744" s="151"/>
      <c r="AD744" s="529"/>
      <c r="AE744" s="523"/>
      <c r="AF744" s="523"/>
      <c r="AG744" s="523" t="s">
        <v>482</v>
      </c>
      <c r="AH744" s="291"/>
      <c r="AI744" s="523"/>
      <c r="AJ744" s="529"/>
      <c r="AK744" s="523"/>
      <c r="AL744" s="523"/>
      <c r="AM744" s="523" t="s">
        <v>482</v>
      </c>
      <c r="AN744" s="291"/>
      <c r="AO744" s="523"/>
      <c r="AP744" s="529"/>
      <c r="AQ744" s="631"/>
    </row>
    <row r="745" spans="1:43" ht="30">
      <c r="A745" s="637">
        <v>106</v>
      </c>
      <c r="B745" s="524" t="s">
        <v>1150</v>
      </c>
      <c r="C745" s="525" t="s">
        <v>1151</v>
      </c>
      <c r="D745" s="526" t="s">
        <v>1152</v>
      </c>
      <c r="E745" s="527">
        <v>0.42</v>
      </c>
      <c r="F745" s="528">
        <v>2940</v>
      </c>
      <c r="G745" s="523"/>
      <c r="H745" s="523"/>
      <c r="I745" s="523"/>
      <c r="J745" s="150"/>
      <c r="K745" s="151"/>
      <c r="L745" s="281"/>
      <c r="M745" s="523"/>
      <c r="N745" s="523"/>
      <c r="O745" s="523" t="s">
        <v>482</v>
      </c>
      <c r="P745" s="291"/>
      <c r="Q745" s="151"/>
      <c r="R745" s="281"/>
      <c r="S745" s="523"/>
      <c r="T745" s="523"/>
      <c r="U745" s="523" t="s">
        <v>482</v>
      </c>
      <c r="V745" s="291"/>
      <c r="W745" s="151"/>
      <c r="X745" s="281"/>
      <c r="Y745" s="523"/>
      <c r="Z745" s="523"/>
      <c r="AA745" s="523" t="s">
        <v>482</v>
      </c>
      <c r="AB745" s="291"/>
      <c r="AC745" s="151"/>
      <c r="AD745" s="529"/>
      <c r="AE745" s="523"/>
      <c r="AF745" s="523"/>
      <c r="AG745" s="523" t="s">
        <v>482</v>
      </c>
      <c r="AH745" s="291"/>
      <c r="AI745" s="523"/>
      <c r="AJ745" s="529"/>
      <c r="AK745" s="523"/>
      <c r="AL745" s="523"/>
      <c r="AM745" s="523" t="s">
        <v>482</v>
      </c>
      <c r="AN745" s="291"/>
      <c r="AO745" s="523"/>
      <c r="AP745" s="529"/>
      <c r="AQ745" s="631"/>
    </row>
    <row r="746" spans="1:43" ht="45">
      <c r="A746" s="637">
        <v>107</v>
      </c>
      <c r="B746" s="524" t="s">
        <v>1153</v>
      </c>
      <c r="C746" s="525" t="s">
        <v>1154</v>
      </c>
      <c r="D746" s="526" t="s">
        <v>1155</v>
      </c>
      <c r="E746" s="527">
        <v>13.02</v>
      </c>
      <c r="F746" s="528">
        <v>78120</v>
      </c>
      <c r="G746" s="523"/>
      <c r="H746" s="523"/>
      <c r="I746" s="523"/>
      <c r="J746" s="150"/>
      <c r="K746" s="151"/>
      <c r="L746" s="281"/>
      <c r="M746" s="523"/>
      <c r="N746" s="523"/>
      <c r="O746" s="523" t="s">
        <v>482</v>
      </c>
      <c r="P746" s="291"/>
      <c r="Q746" s="151"/>
      <c r="R746" s="281"/>
      <c r="S746" s="523"/>
      <c r="T746" s="523"/>
      <c r="U746" s="523" t="s">
        <v>482</v>
      </c>
      <c r="V746" s="291"/>
      <c r="W746" s="151"/>
      <c r="X746" s="281"/>
      <c r="Y746" s="523"/>
      <c r="Z746" s="523"/>
      <c r="AA746" s="523" t="s">
        <v>482</v>
      </c>
      <c r="AB746" s="291"/>
      <c r="AC746" s="151"/>
      <c r="AD746" s="529"/>
      <c r="AE746" s="523"/>
      <c r="AF746" s="523"/>
      <c r="AG746" s="523" t="s">
        <v>482</v>
      </c>
      <c r="AH746" s="291"/>
      <c r="AI746" s="523"/>
      <c r="AJ746" s="529"/>
      <c r="AK746" s="523"/>
      <c r="AL746" s="523"/>
      <c r="AM746" s="523" t="s">
        <v>482</v>
      </c>
      <c r="AN746" s="291"/>
      <c r="AO746" s="523"/>
      <c r="AP746" s="529"/>
      <c r="AQ746" s="631"/>
    </row>
    <row r="747" spans="1:43" ht="45">
      <c r="A747" s="637">
        <v>108</v>
      </c>
      <c r="B747" s="524" t="s">
        <v>1156</v>
      </c>
      <c r="C747" s="525" t="s">
        <v>1157</v>
      </c>
      <c r="D747" s="526" t="s">
        <v>1158</v>
      </c>
      <c r="E747" s="527">
        <v>17.5</v>
      </c>
      <c r="F747" s="528">
        <v>105000</v>
      </c>
      <c r="G747" s="523"/>
      <c r="H747" s="523"/>
      <c r="I747" s="523"/>
      <c r="J747" s="150"/>
      <c r="K747" s="151"/>
      <c r="L747" s="281"/>
      <c r="M747" s="523"/>
      <c r="N747" s="523"/>
      <c r="O747" s="523" t="s">
        <v>482</v>
      </c>
      <c r="P747" s="291"/>
      <c r="Q747" s="151"/>
      <c r="R747" s="281"/>
      <c r="S747" s="523"/>
      <c r="T747" s="523"/>
      <c r="U747" s="523" t="s">
        <v>482</v>
      </c>
      <c r="V747" s="291"/>
      <c r="W747" s="151"/>
      <c r="X747" s="281"/>
      <c r="Y747" s="523"/>
      <c r="Z747" s="523"/>
      <c r="AA747" s="523" t="s">
        <v>482</v>
      </c>
      <c r="AB747" s="291"/>
      <c r="AC747" s="151"/>
      <c r="AD747" s="529"/>
      <c r="AE747" s="523"/>
      <c r="AF747" s="523"/>
      <c r="AG747" s="523" t="s">
        <v>482</v>
      </c>
      <c r="AH747" s="291"/>
      <c r="AI747" s="523"/>
      <c r="AJ747" s="529"/>
      <c r="AK747" s="523"/>
      <c r="AL747" s="523"/>
      <c r="AM747" s="523" t="s">
        <v>482</v>
      </c>
      <c r="AN747" s="291"/>
      <c r="AO747" s="523"/>
      <c r="AP747" s="529"/>
      <c r="AQ747" s="631"/>
    </row>
    <row r="748" spans="1:43" ht="45">
      <c r="A748" s="637">
        <v>109</v>
      </c>
      <c r="B748" s="524" t="s">
        <v>1159</v>
      </c>
      <c r="C748" s="525" t="s">
        <v>1160</v>
      </c>
      <c r="D748" s="526" t="s">
        <v>1161</v>
      </c>
      <c r="E748" s="527">
        <v>11.53</v>
      </c>
      <c r="F748" s="528">
        <v>69180</v>
      </c>
      <c r="G748" s="523"/>
      <c r="H748" s="523"/>
      <c r="I748" s="523"/>
      <c r="J748" s="150"/>
      <c r="K748" s="151"/>
      <c r="L748" s="281"/>
      <c r="M748" s="523"/>
      <c r="N748" s="523"/>
      <c r="O748" s="523" t="s">
        <v>482</v>
      </c>
      <c r="P748" s="291"/>
      <c r="Q748" s="151"/>
      <c r="R748" s="281"/>
      <c r="S748" s="523"/>
      <c r="T748" s="523"/>
      <c r="U748" s="523" t="s">
        <v>482</v>
      </c>
      <c r="V748" s="291"/>
      <c r="W748" s="151"/>
      <c r="X748" s="281"/>
      <c r="Y748" s="523"/>
      <c r="Z748" s="523"/>
      <c r="AA748" s="523" t="s">
        <v>482</v>
      </c>
      <c r="AB748" s="291"/>
      <c r="AC748" s="151"/>
      <c r="AD748" s="529"/>
      <c r="AE748" s="523"/>
      <c r="AF748" s="523"/>
      <c r="AG748" s="523" t="s">
        <v>482</v>
      </c>
      <c r="AH748" s="291"/>
      <c r="AI748" s="523"/>
      <c r="AJ748" s="529"/>
      <c r="AK748" s="523"/>
      <c r="AL748" s="523"/>
      <c r="AM748" s="523" t="s">
        <v>482</v>
      </c>
      <c r="AN748" s="291"/>
      <c r="AO748" s="523"/>
      <c r="AP748" s="529"/>
      <c r="AQ748" s="631"/>
    </row>
    <row r="749" spans="1:43" ht="45">
      <c r="A749" s="637">
        <v>110</v>
      </c>
      <c r="B749" s="524" t="s">
        <v>851</v>
      </c>
      <c r="C749" s="525" t="s">
        <v>1162</v>
      </c>
      <c r="D749" s="526" t="s">
        <v>853</v>
      </c>
      <c r="E749" s="527">
        <v>6.95</v>
      </c>
      <c r="F749" s="528">
        <v>48650</v>
      </c>
      <c r="G749" s="523"/>
      <c r="H749" s="523"/>
      <c r="I749" s="523"/>
      <c r="J749" s="150"/>
      <c r="K749" s="151"/>
      <c r="L749" s="281"/>
      <c r="M749" s="523"/>
      <c r="N749" s="523"/>
      <c r="O749" s="523" t="s">
        <v>482</v>
      </c>
      <c r="P749" s="291"/>
      <c r="Q749" s="151"/>
      <c r="R749" s="281"/>
      <c r="S749" s="523"/>
      <c r="T749" s="523"/>
      <c r="U749" s="523" t="s">
        <v>482</v>
      </c>
      <c r="V749" s="291"/>
      <c r="W749" s="151"/>
      <c r="X749" s="281"/>
      <c r="Y749" s="523"/>
      <c r="Z749" s="523"/>
      <c r="AA749" s="523" t="s">
        <v>482</v>
      </c>
      <c r="AB749" s="291"/>
      <c r="AC749" s="151"/>
      <c r="AD749" s="529"/>
      <c r="AE749" s="523"/>
      <c r="AF749" s="523"/>
      <c r="AG749" s="523" t="s">
        <v>482</v>
      </c>
      <c r="AH749" s="291"/>
      <c r="AI749" s="523"/>
      <c r="AJ749" s="529"/>
      <c r="AK749" s="523"/>
      <c r="AL749" s="523"/>
      <c r="AM749" s="523"/>
      <c r="AN749" s="291"/>
      <c r="AO749" s="523"/>
      <c r="AP749" s="529"/>
      <c r="AQ749" s="631"/>
    </row>
    <row r="750" spans="1:43" ht="30">
      <c r="A750" s="637">
        <v>111</v>
      </c>
      <c r="B750" s="524" t="s">
        <v>1163</v>
      </c>
      <c r="C750" s="525" t="s">
        <v>1164</v>
      </c>
      <c r="D750" s="526" t="s">
        <v>1165</v>
      </c>
      <c r="E750" s="527">
        <v>3.56</v>
      </c>
      <c r="F750" s="528">
        <v>21360</v>
      </c>
      <c r="G750" s="523"/>
      <c r="H750" s="523"/>
      <c r="I750" s="523"/>
      <c r="J750" s="150"/>
      <c r="K750" s="151"/>
      <c r="L750" s="281"/>
      <c r="M750" s="523"/>
      <c r="N750" s="523"/>
      <c r="O750" s="523" t="s">
        <v>482</v>
      </c>
      <c r="P750" s="291"/>
      <c r="Q750" s="151"/>
      <c r="R750" s="281"/>
      <c r="S750" s="523"/>
      <c r="T750" s="523"/>
      <c r="U750" s="523" t="s">
        <v>482</v>
      </c>
      <c r="V750" s="291"/>
      <c r="W750" s="151"/>
      <c r="X750" s="281"/>
      <c r="Y750" s="523"/>
      <c r="Z750" s="523"/>
      <c r="AA750" s="523" t="s">
        <v>482</v>
      </c>
      <c r="AB750" s="291"/>
      <c r="AC750" s="151"/>
      <c r="AD750" s="529"/>
      <c r="AE750" s="523"/>
      <c r="AF750" s="523"/>
      <c r="AG750" s="523" t="s">
        <v>482</v>
      </c>
      <c r="AH750" s="291"/>
      <c r="AI750" s="523"/>
      <c r="AJ750" s="529"/>
      <c r="AK750" s="523"/>
      <c r="AL750" s="523"/>
      <c r="AM750" s="523" t="s">
        <v>482</v>
      </c>
      <c r="AN750" s="291"/>
      <c r="AO750" s="523"/>
      <c r="AP750" s="529"/>
      <c r="AQ750" s="631"/>
    </row>
    <row r="751" spans="1:43" ht="30">
      <c r="A751" s="637">
        <v>112</v>
      </c>
      <c r="B751" s="524" t="s">
        <v>1166</v>
      </c>
      <c r="C751" s="525" t="s">
        <v>1167</v>
      </c>
      <c r="D751" s="526" t="s">
        <v>1168</v>
      </c>
      <c r="E751" s="527">
        <v>11</v>
      </c>
      <c r="F751" s="528">
        <v>66000</v>
      </c>
      <c r="G751" s="523"/>
      <c r="H751" s="523"/>
      <c r="I751" s="523"/>
      <c r="J751" s="150"/>
      <c r="K751" s="151"/>
      <c r="L751" s="281"/>
      <c r="M751" s="523"/>
      <c r="N751" s="523"/>
      <c r="O751" s="523" t="s">
        <v>482</v>
      </c>
      <c r="P751" s="291"/>
      <c r="Q751" s="151"/>
      <c r="R751" s="281"/>
      <c r="S751" s="523"/>
      <c r="T751" s="523"/>
      <c r="U751" s="523" t="s">
        <v>482</v>
      </c>
      <c r="V751" s="291"/>
      <c r="W751" s="151"/>
      <c r="X751" s="281"/>
      <c r="Y751" s="523"/>
      <c r="Z751" s="523"/>
      <c r="AA751" s="523" t="s">
        <v>482</v>
      </c>
      <c r="AB751" s="291"/>
      <c r="AC751" s="151"/>
      <c r="AD751" s="529"/>
      <c r="AE751" s="523"/>
      <c r="AF751" s="523"/>
      <c r="AG751" s="523" t="s">
        <v>482</v>
      </c>
      <c r="AH751" s="291"/>
      <c r="AI751" s="523"/>
      <c r="AJ751" s="529"/>
      <c r="AK751" s="523"/>
      <c r="AL751" s="523"/>
      <c r="AM751" s="523" t="s">
        <v>482</v>
      </c>
      <c r="AN751" s="291"/>
      <c r="AO751" s="523"/>
      <c r="AP751" s="529"/>
      <c r="AQ751" s="631"/>
    </row>
    <row r="752" spans="1:43" ht="30">
      <c r="A752" s="637">
        <v>113</v>
      </c>
      <c r="B752" s="524" t="s">
        <v>1169</v>
      </c>
      <c r="C752" s="525" t="s">
        <v>1170</v>
      </c>
      <c r="D752" s="526" t="s">
        <v>1171</v>
      </c>
      <c r="E752" s="527">
        <v>5.03</v>
      </c>
      <c r="F752" s="528">
        <v>30180</v>
      </c>
      <c r="G752" s="523"/>
      <c r="H752" s="523"/>
      <c r="I752" s="523"/>
      <c r="J752" s="150"/>
      <c r="K752" s="151"/>
      <c r="L752" s="281"/>
      <c r="M752" s="523"/>
      <c r="N752" s="523"/>
      <c r="O752" s="523" t="s">
        <v>482</v>
      </c>
      <c r="P752" s="291"/>
      <c r="Q752" s="151"/>
      <c r="R752" s="281"/>
      <c r="S752" s="523"/>
      <c r="T752" s="523"/>
      <c r="U752" s="523" t="s">
        <v>482</v>
      </c>
      <c r="V752" s="291"/>
      <c r="W752" s="151"/>
      <c r="X752" s="281"/>
      <c r="Y752" s="523"/>
      <c r="Z752" s="523"/>
      <c r="AA752" s="523" t="s">
        <v>482</v>
      </c>
      <c r="AB752" s="291"/>
      <c r="AC752" s="151"/>
      <c r="AD752" s="529"/>
      <c r="AE752" s="523"/>
      <c r="AF752" s="523"/>
      <c r="AG752" s="523" t="s">
        <v>482</v>
      </c>
      <c r="AH752" s="291"/>
      <c r="AI752" s="523"/>
      <c r="AJ752" s="529"/>
      <c r="AK752" s="523"/>
      <c r="AL752" s="523"/>
      <c r="AM752" s="523" t="s">
        <v>482</v>
      </c>
      <c r="AN752" s="291"/>
      <c r="AO752" s="523"/>
      <c r="AP752" s="529"/>
      <c r="AQ752" s="631"/>
    </row>
    <row r="753" spans="1:43" ht="30">
      <c r="A753" s="637">
        <v>114</v>
      </c>
      <c r="B753" s="524" t="s">
        <v>1172</v>
      </c>
      <c r="C753" s="525" t="s">
        <v>1173</v>
      </c>
      <c r="D753" s="526" t="s">
        <v>1174</v>
      </c>
      <c r="E753" s="527">
        <v>6.9480000000000004</v>
      </c>
      <c r="F753" s="528">
        <v>41688</v>
      </c>
      <c r="G753" s="523"/>
      <c r="H753" s="523"/>
      <c r="I753" s="523"/>
      <c r="J753" s="150"/>
      <c r="K753" s="151"/>
      <c r="L753" s="281"/>
      <c r="M753" s="523"/>
      <c r="N753" s="523"/>
      <c r="O753" s="523" t="s">
        <v>482</v>
      </c>
      <c r="P753" s="291"/>
      <c r="Q753" s="151"/>
      <c r="R753" s="281"/>
      <c r="S753" s="523"/>
      <c r="T753" s="523"/>
      <c r="U753" s="523" t="s">
        <v>482</v>
      </c>
      <c r="V753" s="291"/>
      <c r="W753" s="151"/>
      <c r="X753" s="281"/>
      <c r="Y753" s="523"/>
      <c r="Z753" s="523"/>
      <c r="AA753" s="523" t="s">
        <v>482</v>
      </c>
      <c r="AB753" s="291"/>
      <c r="AC753" s="151"/>
      <c r="AD753" s="529"/>
      <c r="AE753" s="523"/>
      <c r="AF753" s="523"/>
      <c r="AG753" s="523" t="s">
        <v>482</v>
      </c>
      <c r="AH753" s="291"/>
      <c r="AI753" s="523"/>
      <c r="AJ753" s="529"/>
      <c r="AK753" s="523"/>
      <c r="AL753" s="523"/>
      <c r="AM753" s="523" t="s">
        <v>482</v>
      </c>
      <c r="AN753" s="291"/>
      <c r="AO753" s="523"/>
      <c r="AP753" s="529"/>
      <c r="AQ753" s="631"/>
    </row>
    <row r="754" spans="1:43" ht="30">
      <c r="A754" s="637">
        <v>115</v>
      </c>
      <c r="B754" s="524" t="s">
        <v>1175</v>
      </c>
      <c r="C754" s="525" t="s">
        <v>1176</v>
      </c>
      <c r="D754" s="526" t="s">
        <v>1177</v>
      </c>
      <c r="E754" s="527">
        <v>6</v>
      </c>
      <c r="F754" s="528">
        <v>30000</v>
      </c>
      <c r="G754" s="523"/>
      <c r="H754" s="523"/>
      <c r="I754" s="523"/>
      <c r="J754" s="150"/>
      <c r="K754" s="151"/>
      <c r="L754" s="281"/>
      <c r="M754" s="523"/>
      <c r="N754" s="523"/>
      <c r="O754" s="523" t="s">
        <v>482</v>
      </c>
      <c r="P754" s="291"/>
      <c r="Q754" s="151"/>
      <c r="R754" s="281"/>
      <c r="S754" s="523"/>
      <c r="T754" s="523"/>
      <c r="U754" s="523" t="s">
        <v>482</v>
      </c>
      <c r="V754" s="291"/>
      <c r="W754" s="151"/>
      <c r="X754" s="281"/>
      <c r="Y754" s="523"/>
      <c r="Z754" s="523"/>
      <c r="AA754" s="523" t="s">
        <v>482</v>
      </c>
      <c r="AB754" s="291"/>
      <c r="AC754" s="151"/>
      <c r="AD754" s="529"/>
      <c r="AE754" s="523"/>
      <c r="AF754" s="523"/>
      <c r="AG754" s="523" t="s">
        <v>482</v>
      </c>
      <c r="AH754" s="291"/>
      <c r="AI754" s="523"/>
      <c r="AJ754" s="529"/>
      <c r="AK754" s="523"/>
      <c r="AL754" s="523"/>
      <c r="AM754" s="523" t="s">
        <v>482</v>
      </c>
      <c r="AN754" s="291"/>
      <c r="AO754" s="523"/>
      <c r="AP754" s="529"/>
      <c r="AQ754" s="631"/>
    </row>
    <row r="755" spans="1:43" ht="45">
      <c r="A755" s="637">
        <v>116</v>
      </c>
      <c r="B755" s="524" t="s">
        <v>854</v>
      </c>
      <c r="C755" s="525" t="s">
        <v>855</v>
      </c>
      <c r="D755" s="526" t="s">
        <v>856</v>
      </c>
      <c r="E755" s="527">
        <v>31.44</v>
      </c>
      <c r="F755" s="528">
        <v>204360</v>
      </c>
      <c r="G755" s="523"/>
      <c r="H755" s="523"/>
      <c r="I755" s="523"/>
      <c r="J755" s="150"/>
      <c r="K755" s="151"/>
      <c r="L755" s="281"/>
      <c r="M755" s="523"/>
      <c r="N755" s="523"/>
      <c r="O755" s="523" t="s">
        <v>482</v>
      </c>
      <c r="P755" s="291"/>
      <c r="Q755" s="151"/>
      <c r="R755" s="281"/>
      <c r="S755" s="523"/>
      <c r="T755" s="523"/>
      <c r="U755" s="523" t="s">
        <v>482</v>
      </c>
      <c r="V755" s="291"/>
      <c r="W755" s="151"/>
      <c r="X755" s="281"/>
      <c r="Y755" s="523"/>
      <c r="Z755" s="523"/>
      <c r="AA755" s="523" t="s">
        <v>482</v>
      </c>
      <c r="AB755" s="291"/>
      <c r="AC755" s="151"/>
      <c r="AD755" s="529"/>
      <c r="AE755" s="523"/>
      <c r="AF755" s="523"/>
      <c r="AG755" s="523"/>
      <c r="AH755" s="291"/>
      <c r="AI755" s="523"/>
      <c r="AJ755" s="529"/>
      <c r="AK755" s="523"/>
      <c r="AL755" s="523"/>
      <c r="AM755" s="523" t="s">
        <v>482</v>
      </c>
      <c r="AN755" s="291"/>
      <c r="AO755" s="523"/>
      <c r="AP755" s="529"/>
      <c r="AQ755" s="631"/>
    </row>
    <row r="756" spans="1:43" ht="45">
      <c r="A756" s="637">
        <v>117</v>
      </c>
      <c r="B756" s="524" t="s">
        <v>1178</v>
      </c>
      <c r="C756" s="525" t="s">
        <v>1179</v>
      </c>
      <c r="D756" s="526" t="s">
        <v>1180</v>
      </c>
      <c r="E756" s="527">
        <v>10.56</v>
      </c>
      <c r="F756" s="528">
        <v>63360</v>
      </c>
      <c r="G756" s="523"/>
      <c r="H756" s="523"/>
      <c r="I756" s="523"/>
      <c r="J756" s="150"/>
      <c r="K756" s="151"/>
      <c r="L756" s="281"/>
      <c r="M756" s="523"/>
      <c r="N756" s="523"/>
      <c r="O756" s="523" t="s">
        <v>482</v>
      </c>
      <c r="P756" s="291"/>
      <c r="Q756" s="151"/>
      <c r="R756" s="281"/>
      <c r="S756" s="523"/>
      <c r="T756" s="523"/>
      <c r="U756" s="523" t="s">
        <v>482</v>
      </c>
      <c r="V756" s="291"/>
      <c r="W756" s="151"/>
      <c r="X756" s="281"/>
      <c r="Y756" s="523"/>
      <c r="Z756" s="523"/>
      <c r="AA756" s="523" t="s">
        <v>482</v>
      </c>
      <c r="AB756" s="291"/>
      <c r="AC756" s="151"/>
      <c r="AD756" s="529"/>
      <c r="AE756" s="523"/>
      <c r="AF756" s="523"/>
      <c r="AG756" s="523" t="s">
        <v>482</v>
      </c>
      <c r="AH756" s="291"/>
      <c r="AI756" s="523"/>
      <c r="AJ756" s="529"/>
      <c r="AK756" s="523"/>
      <c r="AL756" s="523"/>
      <c r="AM756" s="523" t="s">
        <v>482</v>
      </c>
      <c r="AN756" s="291"/>
      <c r="AO756" s="523"/>
      <c r="AP756" s="529"/>
      <c r="AQ756" s="631"/>
    </row>
    <row r="757" spans="1:43" ht="45">
      <c r="A757" s="637">
        <v>118</v>
      </c>
      <c r="B757" s="524" t="s">
        <v>1181</v>
      </c>
      <c r="C757" s="525" t="s">
        <v>1182</v>
      </c>
      <c r="D757" s="526" t="s">
        <v>1183</v>
      </c>
      <c r="E757" s="527">
        <v>8</v>
      </c>
      <c r="F757" s="528">
        <v>48000</v>
      </c>
      <c r="G757" s="523"/>
      <c r="H757" s="523"/>
      <c r="I757" s="523"/>
      <c r="J757" s="150"/>
      <c r="K757" s="151"/>
      <c r="L757" s="281"/>
      <c r="M757" s="523"/>
      <c r="N757" s="523"/>
      <c r="O757" s="523" t="s">
        <v>482</v>
      </c>
      <c r="P757" s="291"/>
      <c r="Q757" s="151"/>
      <c r="R757" s="281"/>
      <c r="S757" s="523"/>
      <c r="T757" s="523"/>
      <c r="U757" s="523" t="s">
        <v>482</v>
      </c>
      <c r="V757" s="291"/>
      <c r="W757" s="151"/>
      <c r="X757" s="281"/>
      <c r="Y757" s="523"/>
      <c r="Z757" s="523"/>
      <c r="AA757" s="523" t="s">
        <v>482</v>
      </c>
      <c r="AB757" s="291"/>
      <c r="AC757" s="151"/>
      <c r="AD757" s="529"/>
      <c r="AE757" s="523"/>
      <c r="AF757" s="523"/>
      <c r="AG757" s="523" t="s">
        <v>482</v>
      </c>
      <c r="AH757" s="291"/>
      <c r="AI757" s="523"/>
      <c r="AJ757" s="529"/>
      <c r="AK757" s="523"/>
      <c r="AL757" s="523"/>
      <c r="AM757" s="523" t="s">
        <v>482</v>
      </c>
      <c r="AN757" s="291"/>
      <c r="AO757" s="523"/>
      <c r="AP757" s="529"/>
      <c r="AQ757" s="631"/>
    </row>
    <row r="758" spans="1:43">
      <c r="A758" s="935" t="s">
        <v>473</v>
      </c>
      <c r="B758" s="944"/>
      <c r="C758" s="944"/>
      <c r="D758" s="944"/>
      <c r="E758" s="946">
        <f>SUM(E639:E757)</f>
        <v>1265.8570000000004</v>
      </c>
      <c r="F758" s="946">
        <f>SUM(F639:F757)</f>
        <v>8207476.7200000007</v>
      </c>
      <c r="G758" s="912">
        <f>SUM(G639:G757)</f>
        <v>0</v>
      </c>
      <c r="H758" s="912">
        <f>SUM(H639:H757)</f>
        <v>0</v>
      </c>
      <c r="I758" s="912"/>
      <c r="J758" s="161"/>
      <c r="K758" s="531" t="s">
        <v>17</v>
      </c>
      <c r="L758" s="948"/>
      <c r="M758" s="912"/>
      <c r="N758" s="912"/>
      <c r="O758" s="912"/>
      <c r="P758" s="294"/>
      <c r="Q758" s="531" t="s">
        <v>17</v>
      </c>
      <c r="R758" s="950"/>
      <c r="S758" s="912"/>
      <c r="T758" s="912"/>
      <c r="U758" s="912"/>
      <c r="V758" s="294"/>
      <c r="W758" s="531" t="s">
        <v>17</v>
      </c>
      <c r="X758" s="950"/>
      <c r="Y758" s="912"/>
      <c r="Z758" s="912"/>
      <c r="AA758" s="912"/>
      <c r="AB758" s="294"/>
      <c r="AC758" s="531" t="s">
        <v>17</v>
      </c>
      <c r="AD758" s="910"/>
      <c r="AE758" s="912"/>
      <c r="AF758" s="912"/>
      <c r="AG758" s="912"/>
      <c r="AH758" s="294"/>
      <c r="AI758" s="531" t="s">
        <v>17</v>
      </c>
      <c r="AJ758" s="910"/>
      <c r="AK758" s="912"/>
      <c r="AL758" s="912"/>
      <c r="AM758" s="912"/>
      <c r="AN758" s="294"/>
      <c r="AO758" s="531" t="s">
        <v>17</v>
      </c>
      <c r="AP758" s="910"/>
      <c r="AQ758" s="631"/>
    </row>
    <row r="759" spans="1:43">
      <c r="A759" s="945"/>
      <c r="B759" s="944"/>
      <c r="C759" s="944"/>
      <c r="D759" s="944"/>
      <c r="E759" s="913"/>
      <c r="F759" s="947"/>
      <c r="G759" s="947"/>
      <c r="H759" s="947"/>
      <c r="I759" s="947"/>
      <c r="J759" s="161"/>
      <c r="K759" s="531" t="s">
        <v>32</v>
      </c>
      <c r="L759" s="949"/>
      <c r="M759" s="947"/>
      <c r="N759" s="913"/>
      <c r="O759" s="913"/>
      <c r="P759" s="294"/>
      <c r="Q759" s="531" t="s">
        <v>32</v>
      </c>
      <c r="R759" s="950"/>
      <c r="S759" s="913"/>
      <c r="T759" s="913"/>
      <c r="U759" s="913"/>
      <c r="V759" s="294"/>
      <c r="W759" s="531" t="s">
        <v>32</v>
      </c>
      <c r="X759" s="943"/>
      <c r="Y759" s="913"/>
      <c r="Z759" s="913"/>
      <c r="AA759" s="913"/>
      <c r="AB759" s="294"/>
      <c r="AC759" s="531" t="s">
        <v>32</v>
      </c>
      <c r="AD759" s="911"/>
      <c r="AE759" s="913"/>
      <c r="AF759" s="913"/>
      <c r="AG759" s="913"/>
      <c r="AH759" s="294"/>
      <c r="AI759" s="531" t="s">
        <v>32</v>
      </c>
      <c r="AJ759" s="911"/>
      <c r="AK759" s="913"/>
      <c r="AL759" s="913"/>
      <c r="AM759" s="913"/>
      <c r="AN759" s="294"/>
      <c r="AO759" s="531" t="s">
        <v>32</v>
      </c>
      <c r="AP759" s="911"/>
      <c r="AQ759" s="631"/>
    </row>
    <row r="760" spans="1:43">
      <c r="A760" s="937" t="s">
        <v>474</v>
      </c>
      <c r="B760" s="938"/>
      <c r="C760" s="938"/>
      <c r="D760" s="938"/>
      <c r="E760" s="938"/>
      <c r="F760" s="938"/>
      <c r="G760" s="938"/>
      <c r="H760" s="938"/>
      <c r="I760" s="939" t="s">
        <v>114</v>
      </c>
      <c r="J760" s="162"/>
      <c r="K760" s="163" t="s">
        <v>17</v>
      </c>
      <c r="L760" s="941"/>
      <c r="M760" s="522"/>
      <c r="N760" s="522"/>
      <c r="O760" s="939" t="s">
        <v>114</v>
      </c>
      <c r="P760" s="295"/>
      <c r="Q760" s="163" t="s">
        <v>17</v>
      </c>
      <c r="R760" s="941"/>
      <c r="S760" s="522"/>
      <c r="T760" s="522"/>
      <c r="U760" s="939" t="s">
        <v>114</v>
      </c>
      <c r="V760" s="295"/>
      <c r="W760" s="163" t="s">
        <v>17</v>
      </c>
      <c r="X760" s="941"/>
      <c r="Y760" s="522"/>
      <c r="Z760" s="522"/>
      <c r="AA760" s="939" t="s">
        <v>114</v>
      </c>
      <c r="AB760" s="295"/>
      <c r="AC760" s="163" t="s">
        <v>17</v>
      </c>
      <c r="AD760" s="940"/>
      <c r="AE760" s="522"/>
      <c r="AF760" s="522"/>
      <c r="AG760" s="939" t="s">
        <v>114</v>
      </c>
      <c r="AH760" s="295"/>
      <c r="AI760" s="163" t="s">
        <v>17</v>
      </c>
      <c r="AJ760" s="940"/>
      <c r="AK760" s="522"/>
      <c r="AL760" s="522"/>
      <c r="AM760" s="939" t="s">
        <v>114</v>
      </c>
      <c r="AN760" s="295"/>
      <c r="AO760" s="163" t="s">
        <v>17</v>
      </c>
      <c r="AP760" s="940"/>
      <c r="AQ760" s="631"/>
    </row>
    <row r="761" spans="1:43">
      <c r="A761" s="937"/>
      <c r="B761" s="938"/>
      <c r="C761" s="938"/>
      <c r="D761" s="938"/>
      <c r="E761" s="938"/>
      <c r="F761" s="938"/>
      <c r="G761" s="938"/>
      <c r="H761" s="938"/>
      <c r="I761" s="939"/>
      <c r="J761" s="162"/>
      <c r="K761" s="163" t="s">
        <v>32</v>
      </c>
      <c r="L761" s="942"/>
      <c r="M761" s="522"/>
      <c r="N761" s="522"/>
      <c r="O761" s="939"/>
      <c r="P761" s="295"/>
      <c r="Q761" s="163" t="s">
        <v>32</v>
      </c>
      <c r="R761" s="941"/>
      <c r="S761" s="522"/>
      <c r="T761" s="522"/>
      <c r="U761" s="939"/>
      <c r="V761" s="295"/>
      <c r="W761" s="163" t="s">
        <v>32</v>
      </c>
      <c r="X761" s="943"/>
      <c r="Y761" s="522"/>
      <c r="Z761" s="522"/>
      <c r="AA761" s="939"/>
      <c r="AB761" s="295"/>
      <c r="AC761" s="163" t="s">
        <v>32</v>
      </c>
      <c r="AD761" s="911"/>
      <c r="AE761" s="522"/>
      <c r="AF761" s="522"/>
      <c r="AG761" s="939"/>
      <c r="AH761" s="295"/>
      <c r="AI761" s="163" t="s">
        <v>32</v>
      </c>
      <c r="AJ761" s="911"/>
      <c r="AK761" s="522"/>
      <c r="AL761" s="522"/>
      <c r="AM761" s="939"/>
      <c r="AN761" s="295"/>
      <c r="AO761" s="163" t="s">
        <v>32</v>
      </c>
      <c r="AP761" s="911"/>
      <c r="AQ761" s="631"/>
    </row>
    <row r="762" spans="1:43">
      <c r="A762" s="937"/>
      <c r="B762" s="938"/>
      <c r="C762" s="938"/>
      <c r="D762" s="938"/>
      <c r="E762" s="938"/>
      <c r="F762" s="938"/>
      <c r="G762" s="938"/>
      <c r="H762" s="938"/>
      <c r="I762" s="939" t="s">
        <v>115</v>
      </c>
      <c r="J762" s="162"/>
      <c r="K762" s="163" t="s">
        <v>17</v>
      </c>
      <c r="L762" s="941"/>
      <c r="M762" s="522"/>
      <c r="N762" s="522"/>
      <c r="O762" s="939" t="s">
        <v>115</v>
      </c>
      <c r="P762" s="295"/>
      <c r="Q762" s="163" t="s">
        <v>17</v>
      </c>
      <c r="R762" s="941"/>
      <c r="S762" s="522"/>
      <c r="T762" s="522"/>
      <c r="U762" s="939" t="s">
        <v>115</v>
      </c>
      <c r="V762" s="295"/>
      <c r="W762" s="163" t="s">
        <v>17</v>
      </c>
      <c r="X762" s="941"/>
      <c r="Y762" s="522"/>
      <c r="Z762" s="522"/>
      <c r="AA762" s="939" t="s">
        <v>115</v>
      </c>
      <c r="AB762" s="295"/>
      <c r="AC762" s="163" t="s">
        <v>17</v>
      </c>
      <c r="AD762" s="940"/>
      <c r="AE762" s="522"/>
      <c r="AF762" s="522"/>
      <c r="AG762" s="939" t="s">
        <v>115</v>
      </c>
      <c r="AH762" s="295"/>
      <c r="AI762" s="163" t="s">
        <v>17</v>
      </c>
      <c r="AJ762" s="940"/>
      <c r="AK762" s="522"/>
      <c r="AL762" s="522"/>
      <c r="AM762" s="939" t="s">
        <v>115</v>
      </c>
      <c r="AN762" s="295"/>
      <c r="AO762" s="163" t="s">
        <v>17</v>
      </c>
      <c r="AP762" s="940"/>
      <c r="AQ762" s="631"/>
    </row>
    <row r="763" spans="1:43">
      <c r="A763" s="937"/>
      <c r="B763" s="938"/>
      <c r="C763" s="938"/>
      <c r="D763" s="938"/>
      <c r="E763" s="938"/>
      <c r="F763" s="938"/>
      <c r="G763" s="938"/>
      <c r="H763" s="938"/>
      <c r="I763" s="939"/>
      <c r="J763" s="162"/>
      <c r="K763" s="163" t="s">
        <v>32</v>
      </c>
      <c r="L763" s="942"/>
      <c r="M763" s="522"/>
      <c r="N763" s="522"/>
      <c r="O763" s="939"/>
      <c r="P763" s="295"/>
      <c r="Q763" s="163" t="s">
        <v>32</v>
      </c>
      <c r="R763" s="941"/>
      <c r="S763" s="522"/>
      <c r="T763" s="522"/>
      <c r="U763" s="939"/>
      <c r="V763" s="295"/>
      <c r="W763" s="163" t="s">
        <v>32</v>
      </c>
      <c r="X763" s="943"/>
      <c r="Y763" s="522"/>
      <c r="Z763" s="522"/>
      <c r="AA763" s="939"/>
      <c r="AB763" s="295"/>
      <c r="AC763" s="163" t="s">
        <v>32</v>
      </c>
      <c r="AD763" s="911"/>
      <c r="AE763" s="522"/>
      <c r="AF763" s="522"/>
      <c r="AG763" s="939"/>
      <c r="AH763" s="295"/>
      <c r="AI763" s="163" t="s">
        <v>32</v>
      </c>
      <c r="AJ763" s="911"/>
      <c r="AK763" s="522"/>
      <c r="AL763" s="522"/>
      <c r="AM763" s="939"/>
      <c r="AN763" s="295"/>
      <c r="AO763" s="163" t="s">
        <v>32</v>
      </c>
      <c r="AP763" s="911"/>
      <c r="AQ763" s="631"/>
    </row>
    <row r="764" spans="1:43">
      <c r="A764" s="937"/>
      <c r="B764" s="938"/>
      <c r="C764" s="938"/>
      <c r="D764" s="938"/>
      <c r="E764" s="938"/>
      <c r="F764" s="938"/>
      <c r="G764" s="938"/>
      <c r="H764" s="938"/>
      <c r="I764" s="939" t="s">
        <v>116</v>
      </c>
      <c r="J764" s="162"/>
      <c r="K764" s="163" t="s">
        <v>17</v>
      </c>
      <c r="L764" s="941"/>
      <c r="M764" s="522"/>
      <c r="N764" s="522"/>
      <c r="O764" s="939" t="s">
        <v>116</v>
      </c>
      <c r="P764" s="295"/>
      <c r="Q764" s="163" t="s">
        <v>17</v>
      </c>
      <c r="R764" s="941"/>
      <c r="S764" s="522"/>
      <c r="T764" s="522"/>
      <c r="U764" s="939" t="s">
        <v>116</v>
      </c>
      <c r="V764" s="295"/>
      <c r="W764" s="163" t="s">
        <v>17</v>
      </c>
      <c r="X764" s="941"/>
      <c r="Y764" s="522"/>
      <c r="Z764" s="522"/>
      <c r="AA764" s="939" t="s">
        <v>116</v>
      </c>
      <c r="AB764" s="295"/>
      <c r="AC764" s="163" t="s">
        <v>17</v>
      </c>
      <c r="AD764" s="940"/>
      <c r="AE764" s="522"/>
      <c r="AF764" s="522"/>
      <c r="AG764" s="939" t="s">
        <v>116</v>
      </c>
      <c r="AH764" s="295"/>
      <c r="AI764" s="163" t="s">
        <v>17</v>
      </c>
      <c r="AJ764" s="940"/>
      <c r="AK764" s="522"/>
      <c r="AL764" s="522"/>
      <c r="AM764" s="939" t="s">
        <v>116</v>
      </c>
      <c r="AN764" s="295"/>
      <c r="AO764" s="163" t="s">
        <v>17</v>
      </c>
      <c r="AP764" s="940"/>
      <c r="AQ764" s="631"/>
    </row>
    <row r="765" spans="1:43">
      <c r="A765" s="937"/>
      <c r="B765" s="938"/>
      <c r="C765" s="938"/>
      <c r="D765" s="938"/>
      <c r="E765" s="938"/>
      <c r="F765" s="938"/>
      <c r="G765" s="938"/>
      <c r="H765" s="938"/>
      <c r="I765" s="939"/>
      <c r="J765" s="162"/>
      <c r="K765" s="163" t="s">
        <v>32</v>
      </c>
      <c r="L765" s="942"/>
      <c r="M765" s="522"/>
      <c r="N765" s="522"/>
      <c r="O765" s="939"/>
      <c r="P765" s="295"/>
      <c r="Q765" s="163" t="s">
        <v>32</v>
      </c>
      <c r="R765" s="941"/>
      <c r="S765" s="522"/>
      <c r="T765" s="522"/>
      <c r="U765" s="939"/>
      <c r="V765" s="295"/>
      <c r="W765" s="163" t="s">
        <v>32</v>
      </c>
      <c r="X765" s="943"/>
      <c r="Y765" s="522"/>
      <c r="Z765" s="522"/>
      <c r="AA765" s="939"/>
      <c r="AB765" s="295"/>
      <c r="AC765" s="163" t="s">
        <v>32</v>
      </c>
      <c r="AD765" s="911"/>
      <c r="AE765" s="522"/>
      <c r="AF765" s="522"/>
      <c r="AG765" s="939"/>
      <c r="AH765" s="295"/>
      <c r="AI765" s="163" t="s">
        <v>32</v>
      </c>
      <c r="AJ765" s="911"/>
      <c r="AK765" s="522"/>
      <c r="AL765" s="522"/>
      <c r="AM765" s="939"/>
      <c r="AN765" s="295"/>
      <c r="AO765" s="163" t="s">
        <v>32</v>
      </c>
      <c r="AP765" s="911"/>
      <c r="AQ765" s="631"/>
    </row>
    <row r="766" spans="1:43">
      <c r="A766" s="937"/>
      <c r="B766" s="938"/>
      <c r="C766" s="938"/>
      <c r="D766" s="938"/>
      <c r="E766" s="938"/>
      <c r="F766" s="938"/>
      <c r="G766" s="938"/>
      <c r="H766" s="938"/>
      <c r="I766" s="939" t="s">
        <v>117</v>
      </c>
      <c r="J766" s="162"/>
      <c r="K766" s="163" t="s">
        <v>17</v>
      </c>
      <c r="L766" s="941"/>
      <c r="M766" s="522"/>
      <c r="N766" s="522"/>
      <c r="O766" s="939" t="s">
        <v>117</v>
      </c>
      <c r="P766" s="295"/>
      <c r="Q766" s="163" t="s">
        <v>17</v>
      </c>
      <c r="R766" s="941"/>
      <c r="S766" s="522"/>
      <c r="T766" s="522"/>
      <c r="U766" s="939" t="s">
        <v>117</v>
      </c>
      <c r="V766" s="295"/>
      <c r="W766" s="163" t="s">
        <v>17</v>
      </c>
      <c r="X766" s="941"/>
      <c r="Y766" s="522"/>
      <c r="Z766" s="522"/>
      <c r="AA766" s="939" t="s">
        <v>117</v>
      </c>
      <c r="AB766" s="295"/>
      <c r="AC766" s="163" t="s">
        <v>17</v>
      </c>
      <c r="AD766" s="940"/>
      <c r="AE766" s="522"/>
      <c r="AF766" s="522"/>
      <c r="AG766" s="939" t="s">
        <v>117</v>
      </c>
      <c r="AH766" s="295"/>
      <c r="AI766" s="163" t="s">
        <v>17</v>
      </c>
      <c r="AJ766" s="940"/>
      <c r="AK766" s="522"/>
      <c r="AL766" s="522"/>
      <c r="AM766" s="939" t="s">
        <v>117</v>
      </c>
      <c r="AN766" s="295"/>
      <c r="AO766" s="163" t="s">
        <v>17</v>
      </c>
      <c r="AP766" s="940"/>
      <c r="AQ766" s="631"/>
    </row>
    <row r="767" spans="1:43">
      <c r="A767" s="937"/>
      <c r="B767" s="938"/>
      <c r="C767" s="938"/>
      <c r="D767" s="938"/>
      <c r="E767" s="938"/>
      <c r="F767" s="938"/>
      <c r="G767" s="938"/>
      <c r="H767" s="938"/>
      <c r="I767" s="939"/>
      <c r="J767" s="162"/>
      <c r="K767" s="163" t="s">
        <v>32</v>
      </c>
      <c r="L767" s="942"/>
      <c r="M767" s="522"/>
      <c r="N767" s="522"/>
      <c r="O767" s="939"/>
      <c r="P767" s="295"/>
      <c r="Q767" s="163" t="s">
        <v>32</v>
      </c>
      <c r="R767" s="941"/>
      <c r="S767" s="522"/>
      <c r="T767" s="522"/>
      <c r="U767" s="939"/>
      <c r="V767" s="295"/>
      <c r="W767" s="163" t="s">
        <v>32</v>
      </c>
      <c r="X767" s="943"/>
      <c r="Y767" s="522"/>
      <c r="Z767" s="522"/>
      <c r="AA767" s="939"/>
      <c r="AB767" s="295"/>
      <c r="AC767" s="163" t="s">
        <v>32</v>
      </c>
      <c r="AD767" s="911"/>
      <c r="AE767" s="522"/>
      <c r="AF767" s="522"/>
      <c r="AG767" s="939"/>
      <c r="AH767" s="295"/>
      <c r="AI767" s="163" t="s">
        <v>32</v>
      </c>
      <c r="AJ767" s="911"/>
      <c r="AK767" s="522"/>
      <c r="AL767" s="522"/>
      <c r="AM767" s="939"/>
      <c r="AN767" s="295"/>
      <c r="AO767" s="163" t="s">
        <v>32</v>
      </c>
      <c r="AP767" s="911"/>
      <c r="AQ767" s="631"/>
    </row>
    <row r="768" spans="1:43">
      <c r="A768" s="937"/>
      <c r="B768" s="938"/>
      <c r="C768" s="938"/>
      <c r="D768" s="938"/>
      <c r="E768" s="938"/>
      <c r="F768" s="938"/>
      <c r="G768" s="938"/>
      <c r="H768" s="938"/>
      <c r="I768" s="939" t="s">
        <v>462</v>
      </c>
      <c r="J768" s="162"/>
      <c r="K768" s="163" t="s">
        <v>32</v>
      </c>
      <c r="L768" s="941"/>
      <c r="M768" s="522"/>
      <c r="N768" s="522"/>
      <c r="O768" s="939" t="s">
        <v>462</v>
      </c>
      <c r="P768" s="295"/>
      <c r="Q768" s="163" t="s">
        <v>32</v>
      </c>
      <c r="R768" s="941"/>
      <c r="S768" s="522"/>
      <c r="T768" s="522"/>
      <c r="U768" s="939" t="s">
        <v>462</v>
      </c>
      <c r="V768" s="295"/>
      <c r="W768" s="163" t="s">
        <v>32</v>
      </c>
      <c r="X768" s="941"/>
      <c r="Y768" s="522"/>
      <c r="Z768" s="522"/>
      <c r="AA768" s="939" t="s">
        <v>462</v>
      </c>
      <c r="AB768" s="295"/>
      <c r="AC768" s="163" t="s">
        <v>32</v>
      </c>
      <c r="AD768" s="940"/>
      <c r="AE768" s="522"/>
      <c r="AF768" s="522"/>
      <c r="AG768" s="939" t="s">
        <v>462</v>
      </c>
      <c r="AH768" s="295"/>
      <c r="AI768" s="163" t="s">
        <v>32</v>
      </c>
      <c r="AJ768" s="940"/>
      <c r="AK768" s="522"/>
      <c r="AL768" s="522"/>
      <c r="AM768" s="939" t="s">
        <v>462</v>
      </c>
      <c r="AN768" s="295"/>
      <c r="AO768" s="163" t="s">
        <v>32</v>
      </c>
      <c r="AP768" s="940"/>
      <c r="AQ768" s="631"/>
    </row>
    <row r="769" spans="1:43">
      <c r="A769" s="937"/>
      <c r="B769" s="938"/>
      <c r="C769" s="938"/>
      <c r="D769" s="938"/>
      <c r="E769" s="938"/>
      <c r="F769" s="938"/>
      <c r="G769" s="938"/>
      <c r="H769" s="938"/>
      <c r="I769" s="939"/>
      <c r="J769" s="162"/>
      <c r="K769" s="163" t="s">
        <v>17</v>
      </c>
      <c r="L769" s="942"/>
      <c r="M769" s="522"/>
      <c r="N769" s="522"/>
      <c r="O769" s="939"/>
      <c r="P769" s="295"/>
      <c r="Q769" s="163" t="s">
        <v>17</v>
      </c>
      <c r="R769" s="941"/>
      <c r="S769" s="522"/>
      <c r="T769" s="522"/>
      <c r="U769" s="939"/>
      <c r="V769" s="295"/>
      <c r="W769" s="163" t="s">
        <v>17</v>
      </c>
      <c r="X769" s="943"/>
      <c r="Y769" s="522"/>
      <c r="Z769" s="522"/>
      <c r="AA769" s="939"/>
      <c r="AB769" s="295"/>
      <c r="AC769" s="163" t="s">
        <v>17</v>
      </c>
      <c r="AD769" s="911"/>
      <c r="AE769" s="522"/>
      <c r="AF769" s="522"/>
      <c r="AG769" s="939"/>
      <c r="AH769" s="295"/>
      <c r="AI769" s="163" t="s">
        <v>17</v>
      </c>
      <c r="AJ769" s="911"/>
      <c r="AK769" s="522"/>
      <c r="AL769" s="522"/>
      <c r="AM769" s="939"/>
      <c r="AN769" s="295"/>
      <c r="AO769" s="163" t="s">
        <v>17</v>
      </c>
      <c r="AP769" s="911"/>
      <c r="AQ769" s="631"/>
    </row>
    <row r="770" spans="1:43" ht="43.5" thickBot="1">
      <c r="A770" s="952"/>
      <c r="B770" s="953"/>
      <c r="C770" s="953"/>
      <c r="D770" s="953"/>
      <c r="E770" s="953"/>
      <c r="F770" s="953"/>
      <c r="G770" s="953"/>
      <c r="H770" s="953"/>
      <c r="I770" s="638" t="s">
        <v>120</v>
      </c>
      <c r="J770" s="639"/>
      <c r="K770" s="640" t="e">
        <f>#REF!</f>
        <v>#REF!</v>
      </c>
      <c r="L770" s="641"/>
      <c r="M770" s="638"/>
      <c r="N770" s="638"/>
      <c r="O770" s="638" t="s">
        <v>120</v>
      </c>
      <c r="P770" s="642"/>
      <c r="Q770" s="640" t="e">
        <f>#REF!</f>
        <v>#REF!</v>
      </c>
      <c r="R770" s="641"/>
      <c r="S770" s="638"/>
      <c r="T770" s="638"/>
      <c r="U770" s="638" t="s">
        <v>120</v>
      </c>
      <c r="V770" s="642"/>
      <c r="W770" s="640" t="e">
        <f>#REF!</f>
        <v>#REF!</v>
      </c>
      <c r="X770" s="641"/>
      <c r="Y770" s="638"/>
      <c r="Z770" s="638"/>
      <c r="AA770" s="638" t="s">
        <v>120</v>
      </c>
      <c r="AB770" s="642"/>
      <c r="AC770" s="640" t="e">
        <f>#REF!</f>
        <v>#REF!</v>
      </c>
      <c r="AD770" s="643"/>
      <c r="AE770" s="638"/>
      <c r="AF770" s="638"/>
      <c r="AG770" s="638" t="s">
        <v>120</v>
      </c>
      <c r="AH770" s="642"/>
      <c r="AI770" s="640" t="e">
        <f>#REF!</f>
        <v>#REF!</v>
      </c>
      <c r="AJ770" s="643"/>
      <c r="AK770" s="638"/>
      <c r="AL770" s="638"/>
      <c r="AM770" s="638" t="s">
        <v>120</v>
      </c>
      <c r="AN770" s="642"/>
      <c r="AO770" s="640" t="e">
        <f>#REF!</f>
        <v>#REF!</v>
      </c>
      <c r="AP770" s="643"/>
      <c r="AQ770" s="644"/>
    </row>
  </sheetData>
  <mergeCells count="2774">
    <mergeCell ref="AP334:AP335"/>
    <mergeCell ref="AM336:AM337"/>
    <mergeCell ref="AP336:AP337"/>
    <mergeCell ref="A1:AQ1"/>
    <mergeCell ref="AQ2:AQ4"/>
    <mergeCell ref="L127:L128"/>
    <mergeCell ref="L47:L48"/>
    <mergeCell ref="L68:L69"/>
    <mergeCell ref="L88:L89"/>
    <mergeCell ref="L261:L262"/>
    <mergeCell ref="L306:L307"/>
    <mergeCell ref="A116:AQ116"/>
    <mergeCell ref="A6:AQ6"/>
    <mergeCell ref="AG318:AG319"/>
    <mergeCell ref="AJ318:AJ319"/>
    <mergeCell ref="AG320:AG321"/>
    <mergeCell ref="AJ320:AJ321"/>
    <mergeCell ref="AG322:AG323"/>
    <mergeCell ref="AJ322:AJ323"/>
    <mergeCell ref="AG324:AG325"/>
    <mergeCell ref="AJ324:AJ325"/>
    <mergeCell ref="AG326:AG327"/>
    <mergeCell ref="AJ326:AJ327"/>
    <mergeCell ref="AG328:AG329"/>
    <mergeCell ref="AJ328:AJ329"/>
    <mergeCell ref="AG330:AG331"/>
    <mergeCell ref="AJ330:AJ331"/>
    <mergeCell ref="AG332:AG333"/>
    <mergeCell ref="AJ332:AJ333"/>
    <mergeCell ref="AM334:AM335"/>
    <mergeCell ref="A332:A333"/>
    <mergeCell ref="B332:B333"/>
    <mergeCell ref="AG447:AG448"/>
    <mergeCell ref="AJ447:AJ448"/>
    <mergeCell ref="AG449:AG450"/>
    <mergeCell ref="AJ449:AJ450"/>
    <mergeCell ref="AG451:AG452"/>
    <mergeCell ref="AJ451:AJ452"/>
    <mergeCell ref="AG453:AG454"/>
    <mergeCell ref="AJ453:AJ454"/>
    <mergeCell ref="AG455:AG456"/>
    <mergeCell ref="AJ455:AJ456"/>
    <mergeCell ref="AM447:AM448"/>
    <mergeCell ref="AP447:AP448"/>
    <mergeCell ref="AM449:AM450"/>
    <mergeCell ref="AP449:AP450"/>
    <mergeCell ref="AM451:AM452"/>
    <mergeCell ref="AP451:AP452"/>
    <mergeCell ref="AM453:AM454"/>
    <mergeCell ref="AP453:AP454"/>
    <mergeCell ref="AM455:AM456"/>
    <mergeCell ref="AP455:AP456"/>
    <mergeCell ref="U447:U448"/>
    <mergeCell ref="X447:X448"/>
    <mergeCell ref="U449:U450"/>
    <mergeCell ref="X449:X450"/>
    <mergeCell ref="U451:U452"/>
    <mergeCell ref="X451:X452"/>
    <mergeCell ref="U453:U454"/>
    <mergeCell ref="X453:X454"/>
    <mergeCell ref="U455:U456"/>
    <mergeCell ref="X455:X456"/>
    <mergeCell ref="AA447:AA448"/>
    <mergeCell ref="AD447:AD448"/>
    <mergeCell ref="AA449:AA450"/>
    <mergeCell ref="AD449:AD450"/>
    <mergeCell ref="AA451:AA452"/>
    <mergeCell ref="AD451:AD452"/>
    <mergeCell ref="AA453:AA454"/>
    <mergeCell ref="AD453:AD454"/>
    <mergeCell ref="AA455:AA456"/>
    <mergeCell ref="AD455:AD456"/>
    <mergeCell ref="A447:H469"/>
    <mergeCell ref="L449:L450"/>
    <mergeCell ref="I453:I454"/>
    <mergeCell ref="L453:L454"/>
    <mergeCell ref="I455:I456"/>
    <mergeCell ref="L455:L456"/>
    <mergeCell ref="O447:O448"/>
    <mergeCell ref="R447:R448"/>
    <mergeCell ref="O449:O450"/>
    <mergeCell ref="R449:R450"/>
    <mergeCell ref="O451:O452"/>
    <mergeCell ref="R451:R452"/>
    <mergeCell ref="O453:O454"/>
    <mergeCell ref="R453:R454"/>
    <mergeCell ref="O455:O456"/>
    <mergeCell ref="R455:R456"/>
    <mergeCell ref="AM423:AM424"/>
    <mergeCell ref="AA429:AA430"/>
    <mergeCell ref="AD429:AD430"/>
    <mergeCell ref="AA431:AA432"/>
    <mergeCell ref="AD431:AD432"/>
    <mergeCell ref="AG423:AG424"/>
    <mergeCell ref="AJ423:AJ424"/>
    <mergeCell ref="AG425:AG426"/>
    <mergeCell ref="AJ425:AJ426"/>
    <mergeCell ref="AG427:AG428"/>
    <mergeCell ref="AJ427:AJ428"/>
    <mergeCell ref="AG429:AG430"/>
    <mergeCell ref="AJ429:AJ430"/>
    <mergeCell ref="AG431:AG432"/>
    <mergeCell ref="AJ431:AJ432"/>
    <mergeCell ref="O429:O430"/>
    <mergeCell ref="J420:J421"/>
    <mergeCell ref="O420:O421"/>
    <mergeCell ref="R420:R421"/>
    <mergeCell ref="U420:U421"/>
    <mergeCell ref="AA420:AA421"/>
    <mergeCell ref="AD420:AD421"/>
    <mergeCell ref="AP425:AP426"/>
    <mergeCell ref="AM427:AM428"/>
    <mergeCell ref="AP427:AP428"/>
    <mergeCell ref="AM429:AM430"/>
    <mergeCell ref="AP429:AP430"/>
    <mergeCell ref="AM431:AM432"/>
    <mergeCell ref="AP431:AP432"/>
    <mergeCell ref="A446:D446"/>
    <mergeCell ref="AA425:AA426"/>
    <mergeCell ref="AD425:AD426"/>
    <mergeCell ref="AA427:AA428"/>
    <mergeCell ref="AD427:AD428"/>
    <mergeCell ref="R429:R430"/>
    <mergeCell ref="O431:O432"/>
    <mergeCell ref="R431:R432"/>
    <mergeCell ref="U425:U426"/>
    <mergeCell ref="X425:X426"/>
    <mergeCell ref="U427:U428"/>
    <mergeCell ref="X427:X428"/>
    <mergeCell ref="U429:U430"/>
    <mergeCell ref="X429:X430"/>
    <mergeCell ref="U431:U432"/>
    <mergeCell ref="X431:X432"/>
    <mergeCell ref="O416:O417"/>
    <mergeCell ref="R416:R417"/>
    <mergeCell ref="AE416:AE417"/>
    <mergeCell ref="AF416:AF417"/>
    <mergeCell ref="AG416:AG417"/>
    <mergeCell ref="AJ416:AJ417"/>
    <mergeCell ref="AP420:AP421"/>
    <mergeCell ref="AM420:AM421"/>
    <mergeCell ref="AP423:AP424"/>
    <mergeCell ref="AM425:AM426"/>
    <mergeCell ref="A422:D422"/>
    <mergeCell ref="AK416:AK417"/>
    <mergeCell ref="AL416:AL417"/>
    <mergeCell ref="AM416:AM417"/>
    <mergeCell ref="AP416:AP417"/>
    <mergeCell ref="A418:A419"/>
    <mergeCell ref="B418:B419"/>
    <mergeCell ref="C418:C419"/>
    <mergeCell ref="D418:D419"/>
    <mergeCell ref="E418:E419"/>
    <mergeCell ref="F418:F419"/>
    <mergeCell ref="M418:M419"/>
    <mergeCell ref="N418:N419"/>
    <mergeCell ref="O418:O419"/>
    <mergeCell ref="R418:R419"/>
    <mergeCell ref="A420:A421"/>
    <mergeCell ref="B420:B421"/>
    <mergeCell ref="C420:C421"/>
    <mergeCell ref="D420:D421"/>
    <mergeCell ref="E420:E421"/>
    <mergeCell ref="F420:F421"/>
    <mergeCell ref="I420:I421"/>
    <mergeCell ref="A412:A413"/>
    <mergeCell ref="B412:B413"/>
    <mergeCell ref="C412:C413"/>
    <mergeCell ref="D412:D413"/>
    <mergeCell ref="E412:E413"/>
    <mergeCell ref="F412:F413"/>
    <mergeCell ref="M412:M413"/>
    <mergeCell ref="N412:N413"/>
    <mergeCell ref="O412:O413"/>
    <mergeCell ref="R412:R413"/>
    <mergeCell ref="AG420:AG421"/>
    <mergeCell ref="AJ420:AJ421"/>
    <mergeCell ref="A414:A415"/>
    <mergeCell ref="B414:B415"/>
    <mergeCell ref="C414:C415"/>
    <mergeCell ref="D414:D415"/>
    <mergeCell ref="E414:E415"/>
    <mergeCell ref="F414:F415"/>
    <mergeCell ref="M414:M415"/>
    <mergeCell ref="N414:N415"/>
    <mergeCell ref="O414:O415"/>
    <mergeCell ref="R414:R415"/>
    <mergeCell ref="AG414:AG415"/>
    <mergeCell ref="AJ414:AJ415"/>
    <mergeCell ref="A416:A417"/>
    <mergeCell ref="B416:B417"/>
    <mergeCell ref="C416:C417"/>
    <mergeCell ref="D416:D417"/>
    <mergeCell ref="E416:E417"/>
    <mergeCell ref="F416:F417"/>
    <mergeCell ref="M416:M417"/>
    <mergeCell ref="N416:N417"/>
    <mergeCell ref="A408:A409"/>
    <mergeCell ref="B408:B409"/>
    <mergeCell ref="C408:C409"/>
    <mergeCell ref="D408:D409"/>
    <mergeCell ref="E408:E409"/>
    <mergeCell ref="F408:F409"/>
    <mergeCell ref="M408:M409"/>
    <mergeCell ref="N408:N409"/>
    <mergeCell ref="O408:O409"/>
    <mergeCell ref="R408:R409"/>
    <mergeCell ref="A410:A411"/>
    <mergeCell ref="B410:B411"/>
    <mergeCell ref="C410:C411"/>
    <mergeCell ref="D410:D411"/>
    <mergeCell ref="E410:E411"/>
    <mergeCell ref="F410:F411"/>
    <mergeCell ref="M410:M411"/>
    <mergeCell ref="N410:N411"/>
    <mergeCell ref="O410:O411"/>
    <mergeCell ref="R410:R411"/>
    <mergeCell ref="A404:A405"/>
    <mergeCell ref="B404:B405"/>
    <mergeCell ref="C404:C405"/>
    <mergeCell ref="D404:D405"/>
    <mergeCell ref="E404:E405"/>
    <mergeCell ref="F404:F405"/>
    <mergeCell ref="M404:M405"/>
    <mergeCell ref="N404:N405"/>
    <mergeCell ref="O404:O405"/>
    <mergeCell ref="R404:R405"/>
    <mergeCell ref="S404:S405"/>
    <mergeCell ref="T404:T405"/>
    <mergeCell ref="U404:U405"/>
    <mergeCell ref="X404:X405"/>
    <mergeCell ref="A406:A407"/>
    <mergeCell ref="B406:B407"/>
    <mergeCell ref="C406:C407"/>
    <mergeCell ref="D406:D407"/>
    <mergeCell ref="E406:E407"/>
    <mergeCell ref="F406:F407"/>
    <mergeCell ref="M406:M407"/>
    <mergeCell ref="N406:N407"/>
    <mergeCell ref="O406:O407"/>
    <mergeCell ref="R406:R407"/>
    <mergeCell ref="A400:A401"/>
    <mergeCell ref="B400:B401"/>
    <mergeCell ref="C400:C401"/>
    <mergeCell ref="D400:D401"/>
    <mergeCell ref="E400:E401"/>
    <mergeCell ref="F400:F401"/>
    <mergeCell ref="G400:G401"/>
    <mergeCell ref="H400:H401"/>
    <mergeCell ref="I400:I401"/>
    <mergeCell ref="L400:L401"/>
    <mergeCell ref="S400:S401"/>
    <mergeCell ref="T400:T401"/>
    <mergeCell ref="U400:U401"/>
    <mergeCell ref="X400:X401"/>
    <mergeCell ref="A402:A403"/>
    <mergeCell ref="B402:B403"/>
    <mergeCell ref="C402:C403"/>
    <mergeCell ref="D402:D403"/>
    <mergeCell ref="E402:E403"/>
    <mergeCell ref="F402:F403"/>
    <mergeCell ref="M402:M403"/>
    <mergeCell ref="N402:N403"/>
    <mergeCell ref="O402:O403"/>
    <mergeCell ref="R402:R403"/>
    <mergeCell ref="S402:S403"/>
    <mergeCell ref="T402:T403"/>
    <mergeCell ref="U402:U403"/>
    <mergeCell ref="X402:X403"/>
    <mergeCell ref="AM394:AM395"/>
    <mergeCell ref="AP394:AP395"/>
    <mergeCell ref="A396:A397"/>
    <mergeCell ref="B396:B397"/>
    <mergeCell ref="C396:C397"/>
    <mergeCell ref="D396:D397"/>
    <mergeCell ref="E396:E397"/>
    <mergeCell ref="F396:F397"/>
    <mergeCell ref="M396:M397"/>
    <mergeCell ref="N396:N397"/>
    <mergeCell ref="O396:O397"/>
    <mergeCell ref="R396:R397"/>
    <mergeCell ref="S396:S397"/>
    <mergeCell ref="T396:T397"/>
    <mergeCell ref="U396:U397"/>
    <mergeCell ref="X396:X397"/>
    <mergeCell ref="A398:A399"/>
    <mergeCell ref="B398:B399"/>
    <mergeCell ref="C398:C399"/>
    <mergeCell ref="D398:D399"/>
    <mergeCell ref="E398:E399"/>
    <mergeCell ref="F398:F399"/>
    <mergeCell ref="M398:M399"/>
    <mergeCell ref="N398:N399"/>
    <mergeCell ref="O398:O399"/>
    <mergeCell ref="R398:R399"/>
    <mergeCell ref="S398:S399"/>
    <mergeCell ref="T398:T399"/>
    <mergeCell ref="U398:U399"/>
    <mergeCell ref="X398:X399"/>
    <mergeCell ref="A392:A393"/>
    <mergeCell ref="B392:B393"/>
    <mergeCell ref="C392:C393"/>
    <mergeCell ref="D392:D393"/>
    <mergeCell ref="E392:E393"/>
    <mergeCell ref="F392:F393"/>
    <mergeCell ref="M392:M393"/>
    <mergeCell ref="N392:N393"/>
    <mergeCell ref="O392:O393"/>
    <mergeCell ref="R392:R393"/>
    <mergeCell ref="S392:S393"/>
    <mergeCell ref="T392:T393"/>
    <mergeCell ref="U392:U393"/>
    <mergeCell ref="AG392:AG393"/>
    <mergeCell ref="AJ392:AJ393"/>
    <mergeCell ref="A394:A395"/>
    <mergeCell ref="B394:B395"/>
    <mergeCell ref="C394:C395"/>
    <mergeCell ref="D394:D395"/>
    <mergeCell ref="E394:E395"/>
    <mergeCell ref="F394:F395"/>
    <mergeCell ref="M394:M395"/>
    <mergeCell ref="N394:N395"/>
    <mergeCell ref="O394:O395"/>
    <mergeCell ref="R394:R395"/>
    <mergeCell ref="AG386:AG387"/>
    <mergeCell ref="AJ386:AJ387"/>
    <mergeCell ref="AM386:AM387"/>
    <mergeCell ref="AP386:AP387"/>
    <mergeCell ref="A388:A389"/>
    <mergeCell ref="B388:B389"/>
    <mergeCell ref="C388:C389"/>
    <mergeCell ref="D388:D389"/>
    <mergeCell ref="E388:E389"/>
    <mergeCell ref="F388:F389"/>
    <mergeCell ref="G388:G389"/>
    <mergeCell ref="H388:H389"/>
    <mergeCell ref="I388:I389"/>
    <mergeCell ref="L388:L389"/>
    <mergeCell ref="AG388:AG389"/>
    <mergeCell ref="AJ388:AJ389"/>
    <mergeCell ref="A390:A391"/>
    <mergeCell ref="B390:B391"/>
    <mergeCell ref="C390:C391"/>
    <mergeCell ref="D390:D391"/>
    <mergeCell ref="E390:E391"/>
    <mergeCell ref="F390:F391"/>
    <mergeCell ref="M390:M391"/>
    <mergeCell ref="N390:N391"/>
    <mergeCell ref="O390:O391"/>
    <mergeCell ref="R390:R391"/>
    <mergeCell ref="S390:S391"/>
    <mergeCell ref="T390:T391"/>
    <mergeCell ref="U390:U391"/>
    <mergeCell ref="AG390:AG391"/>
    <mergeCell ref="AJ390:AJ391"/>
    <mergeCell ref="O380:O381"/>
    <mergeCell ref="R380:R381"/>
    <mergeCell ref="G382:G383"/>
    <mergeCell ref="H382:H383"/>
    <mergeCell ref="M382:M383"/>
    <mergeCell ref="N382:N383"/>
    <mergeCell ref="O382:O383"/>
    <mergeCell ref="R382:R383"/>
    <mergeCell ref="G384:G385"/>
    <mergeCell ref="H384:H385"/>
    <mergeCell ref="I384:I385"/>
    <mergeCell ref="L384:L385"/>
    <mergeCell ref="M384:M385"/>
    <mergeCell ref="N384:N385"/>
    <mergeCell ref="O384:O385"/>
    <mergeCell ref="R384:R385"/>
    <mergeCell ref="A386:A387"/>
    <mergeCell ref="B386:B387"/>
    <mergeCell ref="C386:C387"/>
    <mergeCell ref="D386:D387"/>
    <mergeCell ref="E386:E387"/>
    <mergeCell ref="F386:F387"/>
    <mergeCell ref="G386:G387"/>
    <mergeCell ref="H386:H387"/>
    <mergeCell ref="AK373:AK374"/>
    <mergeCell ref="AL373:AL374"/>
    <mergeCell ref="AM373:AM374"/>
    <mergeCell ref="AP373:AP374"/>
    <mergeCell ref="A376:A385"/>
    <mergeCell ref="B376:B385"/>
    <mergeCell ref="C376:C385"/>
    <mergeCell ref="D376:D385"/>
    <mergeCell ref="E376:E385"/>
    <mergeCell ref="F376:F385"/>
    <mergeCell ref="G376:G377"/>
    <mergeCell ref="H376:H377"/>
    <mergeCell ref="I376:I377"/>
    <mergeCell ref="L376:L377"/>
    <mergeCell ref="M376:M377"/>
    <mergeCell ref="N376:N377"/>
    <mergeCell ref="O376:O377"/>
    <mergeCell ref="R376:R377"/>
    <mergeCell ref="G378:G379"/>
    <mergeCell ref="H378:H379"/>
    <mergeCell ref="I378:I379"/>
    <mergeCell ref="L378:L379"/>
    <mergeCell ref="M378:M379"/>
    <mergeCell ref="N378:N379"/>
    <mergeCell ref="O378:O379"/>
    <mergeCell ref="R378:R379"/>
    <mergeCell ref="G380:G381"/>
    <mergeCell ref="H380:H381"/>
    <mergeCell ref="I380:I381"/>
    <mergeCell ref="L380:L381"/>
    <mergeCell ref="M380:M381"/>
    <mergeCell ref="N380:N381"/>
    <mergeCell ref="Y371:Y372"/>
    <mergeCell ref="Z371:Z372"/>
    <mergeCell ref="AA371:AA372"/>
    <mergeCell ref="AD371:AD372"/>
    <mergeCell ref="A373:A375"/>
    <mergeCell ref="B373:B375"/>
    <mergeCell ref="C373:C375"/>
    <mergeCell ref="D373:D375"/>
    <mergeCell ref="E373:E375"/>
    <mergeCell ref="F373:F375"/>
    <mergeCell ref="G373:G375"/>
    <mergeCell ref="H373:H375"/>
    <mergeCell ref="I373:I374"/>
    <mergeCell ref="L373:L374"/>
    <mergeCell ref="M373:M374"/>
    <mergeCell ref="N373:N374"/>
    <mergeCell ref="O373:O374"/>
    <mergeCell ref="R373:R374"/>
    <mergeCell ref="S373:S374"/>
    <mergeCell ref="T373:T374"/>
    <mergeCell ref="U373:U374"/>
    <mergeCell ref="X373:X374"/>
    <mergeCell ref="Y373:Y374"/>
    <mergeCell ref="Z373:Z374"/>
    <mergeCell ref="AA373:AA374"/>
    <mergeCell ref="AD373:AD374"/>
    <mergeCell ref="I367:I368"/>
    <mergeCell ref="L367:L368"/>
    <mergeCell ref="S367:S368"/>
    <mergeCell ref="T367:T368"/>
    <mergeCell ref="A362:A363"/>
    <mergeCell ref="B362:B363"/>
    <mergeCell ref="U367:U368"/>
    <mergeCell ref="X367:X368"/>
    <mergeCell ref="G369:G370"/>
    <mergeCell ref="H369:H370"/>
    <mergeCell ref="I369:I370"/>
    <mergeCell ref="L369:L370"/>
    <mergeCell ref="S369:S370"/>
    <mergeCell ref="T369:T370"/>
    <mergeCell ref="U369:U370"/>
    <mergeCell ref="A371:A372"/>
    <mergeCell ref="B371:B372"/>
    <mergeCell ref="C371:C372"/>
    <mergeCell ref="D371:D372"/>
    <mergeCell ref="E371:E372"/>
    <mergeCell ref="F371:F372"/>
    <mergeCell ref="G371:G372"/>
    <mergeCell ref="H371:H372"/>
    <mergeCell ref="I371:I372"/>
    <mergeCell ref="L371:L372"/>
    <mergeCell ref="M371:N372"/>
    <mergeCell ref="O371:O372"/>
    <mergeCell ref="R371:R372"/>
    <mergeCell ref="S358:S359"/>
    <mergeCell ref="T358:T359"/>
    <mergeCell ref="U358:U359"/>
    <mergeCell ref="X358:X359"/>
    <mergeCell ref="Y358:Y359"/>
    <mergeCell ref="Z358:Z359"/>
    <mergeCell ref="AA362:AA363"/>
    <mergeCell ref="AD362:AD363"/>
    <mergeCell ref="A364:A370"/>
    <mergeCell ref="B364:B370"/>
    <mergeCell ref="C364:C370"/>
    <mergeCell ref="D364:D370"/>
    <mergeCell ref="E364:E370"/>
    <mergeCell ref="F364:F370"/>
    <mergeCell ref="G364:G366"/>
    <mergeCell ref="H364:H366"/>
    <mergeCell ref="I364:I365"/>
    <mergeCell ref="L364:L365"/>
    <mergeCell ref="M364:M365"/>
    <mergeCell ref="N364:N365"/>
    <mergeCell ref="O364:O365"/>
    <mergeCell ref="R364:R365"/>
    <mergeCell ref="S364:S365"/>
    <mergeCell ref="T364:T365"/>
    <mergeCell ref="U364:U365"/>
    <mergeCell ref="X364:X365"/>
    <mergeCell ref="Y364:Y365"/>
    <mergeCell ref="Z364:Z365"/>
    <mergeCell ref="AA364:AA365"/>
    <mergeCell ref="AD364:AD365"/>
    <mergeCell ref="G367:G368"/>
    <mergeCell ref="H367:H368"/>
    <mergeCell ref="T360:T361"/>
    <mergeCell ref="U360:U361"/>
    <mergeCell ref="V360:V361"/>
    <mergeCell ref="W360:W361"/>
    <mergeCell ref="X360:X361"/>
    <mergeCell ref="Y360:Y361"/>
    <mergeCell ref="Z360:Z361"/>
    <mergeCell ref="AA360:AA361"/>
    <mergeCell ref="AB360:AB361"/>
    <mergeCell ref="AC360:AC361"/>
    <mergeCell ref="AD360:AD361"/>
    <mergeCell ref="C362:C363"/>
    <mergeCell ref="D362:D363"/>
    <mergeCell ref="E362:E363"/>
    <mergeCell ref="F362:F363"/>
    <mergeCell ref="M362:M363"/>
    <mergeCell ref="N362:N363"/>
    <mergeCell ref="O362:O363"/>
    <mergeCell ref="R362:R363"/>
    <mergeCell ref="S362:S363"/>
    <mergeCell ref="T362:T363"/>
    <mergeCell ref="U362:U363"/>
    <mergeCell ref="X362:X363"/>
    <mergeCell ref="Y362:Y363"/>
    <mergeCell ref="Z362:Z363"/>
    <mergeCell ref="A358:A361"/>
    <mergeCell ref="B358:B361"/>
    <mergeCell ref="C358:C361"/>
    <mergeCell ref="D358:D361"/>
    <mergeCell ref="E358:E361"/>
    <mergeCell ref="F358:F361"/>
    <mergeCell ref="G358:G359"/>
    <mergeCell ref="H358:H359"/>
    <mergeCell ref="I358:I359"/>
    <mergeCell ref="J358:J359"/>
    <mergeCell ref="K358:K359"/>
    <mergeCell ref="L358:L359"/>
    <mergeCell ref="M358:M359"/>
    <mergeCell ref="N358:N359"/>
    <mergeCell ref="O358:O359"/>
    <mergeCell ref="R358:R359"/>
    <mergeCell ref="AM352:AM353"/>
    <mergeCell ref="AA358:AA359"/>
    <mergeCell ref="AD358:AD359"/>
    <mergeCell ref="G360:G361"/>
    <mergeCell ref="H360:H361"/>
    <mergeCell ref="I360:I361"/>
    <mergeCell ref="J360:J361"/>
    <mergeCell ref="K360:K361"/>
    <mergeCell ref="L360:L361"/>
    <mergeCell ref="M360:M361"/>
    <mergeCell ref="N360:N361"/>
    <mergeCell ref="O360:O361"/>
    <mergeCell ref="P360:P361"/>
    <mergeCell ref="Q360:Q361"/>
    <mergeCell ref="R360:R361"/>
    <mergeCell ref="S360:S361"/>
    <mergeCell ref="AP352:AP353"/>
    <mergeCell ref="A354:A355"/>
    <mergeCell ref="B354:B355"/>
    <mergeCell ref="C354:C355"/>
    <mergeCell ref="D354:D355"/>
    <mergeCell ref="E354:E355"/>
    <mergeCell ref="F354:F355"/>
    <mergeCell ref="AM354:AM355"/>
    <mergeCell ref="AP354:AP355"/>
    <mergeCell ref="A356:A357"/>
    <mergeCell ref="B356:B357"/>
    <mergeCell ref="C356:C357"/>
    <mergeCell ref="D356:D357"/>
    <mergeCell ref="E356:E357"/>
    <mergeCell ref="F356:F357"/>
    <mergeCell ref="AM356:AM357"/>
    <mergeCell ref="AP356:AP357"/>
    <mergeCell ref="A350:A351"/>
    <mergeCell ref="B350:B351"/>
    <mergeCell ref="C350:C351"/>
    <mergeCell ref="D350:D351"/>
    <mergeCell ref="E350:E351"/>
    <mergeCell ref="F350:F351"/>
    <mergeCell ref="S350:S351"/>
    <mergeCell ref="T350:T351"/>
    <mergeCell ref="U350:U351"/>
    <mergeCell ref="X350:X351"/>
    <mergeCell ref="AG350:AG351"/>
    <mergeCell ref="AJ350:AJ351"/>
    <mergeCell ref="A352:A353"/>
    <mergeCell ref="B352:B353"/>
    <mergeCell ref="C352:C353"/>
    <mergeCell ref="D352:D353"/>
    <mergeCell ref="E352:E353"/>
    <mergeCell ref="F352:F353"/>
    <mergeCell ref="AG352:AG353"/>
    <mergeCell ref="AJ352:AJ353"/>
    <mergeCell ref="AK344:AK345"/>
    <mergeCell ref="AL344:AL345"/>
    <mergeCell ref="AM344:AM345"/>
    <mergeCell ref="AP344:AP345"/>
    <mergeCell ref="A346:A347"/>
    <mergeCell ref="B346:B347"/>
    <mergeCell ref="C346:C347"/>
    <mergeCell ref="D346:D347"/>
    <mergeCell ref="E346:E347"/>
    <mergeCell ref="F346:F347"/>
    <mergeCell ref="S346:S347"/>
    <mergeCell ref="T346:T347"/>
    <mergeCell ref="U346:U347"/>
    <mergeCell ref="X346:X347"/>
    <mergeCell ref="AG346:AG347"/>
    <mergeCell ref="AJ346:AJ347"/>
    <mergeCell ref="A348:A349"/>
    <mergeCell ref="B348:B349"/>
    <mergeCell ref="C348:C349"/>
    <mergeCell ref="D348:D349"/>
    <mergeCell ref="E348:E349"/>
    <mergeCell ref="F348:F349"/>
    <mergeCell ref="AG348:AG349"/>
    <mergeCell ref="AJ348:AJ349"/>
    <mergeCell ref="A342:A343"/>
    <mergeCell ref="B342:B343"/>
    <mergeCell ref="C342:C343"/>
    <mergeCell ref="D342:D343"/>
    <mergeCell ref="E342:E343"/>
    <mergeCell ref="F342:F343"/>
    <mergeCell ref="AG342:AG343"/>
    <mergeCell ref="AJ342:AJ343"/>
    <mergeCell ref="A344:A345"/>
    <mergeCell ref="B344:B345"/>
    <mergeCell ref="C344:C345"/>
    <mergeCell ref="D344:D345"/>
    <mergeCell ref="E344:E345"/>
    <mergeCell ref="F344:F345"/>
    <mergeCell ref="S344:S345"/>
    <mergeCell ref="T344:T345"/>
    <mergeCell ref="U344:U345"/>
    <mergeCell ref="X344:X345"/>
    <mergeCell ref="A338:A339"/>
    <mergeCell ref="B338:B339"/>
    <mergeCell ref="C338:C339"/>
    <mergeCell ref="D338:D339"/>
    <mergeCell ref="E338:E339"/>
    <mergeCell ref="F338:F339"/>
    <mergeCell ref="AK338:AK339"/>
    <mergeCell ref="AL338:AL339"/>
    <mergeCell ref="AM338:AM339"/>
    <mergeCell ref="AP338:AP339"/>
    <mergeCell ref="A340:A341"/>
    <mergeCell ref="B340:B341"/>
    <mergeCell ref="C340:C341"/>
    <mergeCell ref="D340:D341"/>
    <mergeCell ref="E340:E341"/>
    <mergeCell ref="F340:F341"/>
    <mergeCell ref="AG340:AG341"/>
    <mergeCell ref="AJ340:AJ341"/>
    <mergeCell ref="C332:C333"/>
    <mergeCell ref="D332:D333"/>
    <mergeCell ref="E332:E333"/>
    <mergeCell ref="F332:F333"/>
    <mergeCell ref="S332:S333"/>
    <mergeCell ref="T332:T333"/>
    <mergeCell ref="U332:U333"/>
    <mergeCell ref="X332:X333"/>
    <mergeCell ref="A334:A335"/>
    <mergeCell ref="B334:B335"/>
    <mergeCell ref="C334:C335"/>
    <mergeCell ref="D334:D335"/>
    <mergeCell ref="E334:E335"/>
    <mergeCell ref="F334:F335"/>
    <mergeCell ref="A336:A337"/>
    <mergeCell ref="B336:B337"/>
    <mergeCell ref="C336:C337"/>
    <mergeCell ref="D336:D337"/>
    <mergeCell ref="E336:E337"/>
    <mergeCell ref="F336:F337"/>
    <mergeCell ref="A326:A327"/>
    <mergeCell ref="B326:B327"/>
    <mergeCell ref="C326:C327"/>
    <mergeCell ref="D326:D327"/>
    <mergeCell ref="E326:E327"/>
    <mergeCell ref="F326:F327"/>
    <mergeCell ref="A328:A329"/>
    <mergeCell ref="B328:B329"/>
    <mergeCell ref="C328:C329"/>
    <mergeCell ref="D328:D329"/>
    <mergeCell ref="E328:E329"/>
    <mergeCell ref="F328:F329"/>
    <mergeCell ref="A330:A331"/>
    <mergeCell ref="B330:B331"/>
    <mergeCell ref="C330:C331"/>
    <mergeCell ref="D330:D331"/>
    <mergeCell ref="E330:E331"/>
    <mergeCell ref="F330:F331"/>
    <mergeCell ref="A320:A321"/>
    <mergeCell ref="B320:B321"/>
    <mergeCell ref="C320:C321"/>
    <mergeCell ref="D320:D321"/>
    <mergeCell ref="E320:E321"/>
    <mergeCell ref="F320:F321"/>
    <mergeCell ref="A322:A323"/>
    <mergeCell ref="B322:B323"/>
    <mergeCell ref="C322:C323"/>
    <mergeCell ref="D322:D323"/>
    <mergeCell ref="E322:E323"/>
    <mergeCell ref="F322:F323"/>
    <mergeCell ref="A324:A325"/>
    <mergeCell ref="B324:B325"/>
    <mergeCell ref="C324:C325"/>
    <mergeCell ref="D324:D325"/>
    <mergeCell ref="E324:E325"/>
    <mergeCell ref="F324:F325"/>
    <mergeCell ref="AD314:AD315"/>
    <mergeCell ref="Y316:Y317"/>
    <mergeCell ref="Z316:Z317"/>
    <mergeCell ref="AA316:AA317"/>
    <mergeCell ref="AB316:AB317"/>
    <mergeCell ref="AC316:AC317"/>
    <mergeCell ref="AD316:AD317"/>
    <mergeCell ref="A318:A319"/>
    <mergeCell ref="B318:B319"/>
    <mergeCell ref="C318:C319"/>
    <mergeCell ref="D318:D319"/>
    <mergeCell ref="E318:E319"/>
    <mergeCell ref="F318:F319"/>
    <mergeCell ref="Y318:Y319"/>
    <mergeCell ref="Z318:Z319"/>
    <mergeCell ref="AA318:AA319"/>
    <mergeCell ref="AD318:AD319"/>
    <mergeCell ref="T309:T310"/>
    <mergeCell ref="U309:U310"/>
    <mergeCell ref="X309:X310"/>
    <mergeCell ref="Y309:Y310"/>
    <mergeCell ref="Z309:Z310"/>
    <mergeCell ref="AA309:AA310"/>
    <mergeCell ref="AD309:AD310"/>
    <mergeCell ref="M311:M312"/>
    <mergeCell ref="N311:N312"/>
    <mergeCell ref="O311:O312"/>
    <mergeCell ref="R311:R312"/>
    <mergeCell ref="A314:A317"/>
    <mergeCell ref="B314:B317"/>
    <mergeCell ref="C314:C317"/>
    <mergeCell ref="D314:D317"/>
    <mergeCell ref="E314:E317"/>
    <mergeCell ref="F314:F317"/>
    <mergeCell ref="G314:G315"/>
    <mergeCell ref="H314:H315"/>
    <mergeCell ref="I314:I315"/>
    <mergeCell ref="L314:L315"/>
    <mergeCell ref="M314:M315"/>
    <mergeCell ref="N314:N315"/>
    <mergeCell ref="O314:O315"/>
    <mergeCell ref="R314:R315"/>
    <mergeCell ref="S314:S315"/>
    <mergeCell ref="T314:T315"/>
    <mergeCell ref="U314:U315"/>
    <mergeCell ref="X314:X315"/>
    <mergeCell ref="Y314:Y315"/>
    <mergeCell ref="Z314:Z315"/>
    <mergeCell ref="AA314:AA315"/>
    <mergeCell ref="G306:G308"/>
    <mergeCell ref="H306:H308"/>
    <mergeCell ref="I306:I307"/>
    <mergeCell ref="A309:A313"/>
    <mergeCell ref="B309:B313"/>
    <mergeCell ref="C309:C313"/>
    <mergeCell ref="D309:D313"/>
    <mergeCell ref="E309:E313"/>
    <mergeCell ref="F309:F313"/>
    <mergeCell ref="G309:G310"/>
    <mergeCell ref="H309:H310"/>
    <mergeCell ref="I309:I310"/>
    <mergeCell ref="L309:L310"/>
    <mergeCell ref="M309:M310"/>
    <mergeCell ref="N309:N310"/>
    <mergeCell ref="O309:O310"/>
    <mergeCell ref="S301:S302"/>
    <mergeCell ref="R309:R310"/>
    <mergeCell ref="S309:S310"/>
    <mergeCell ref="AA301:AA302"/>
    <mergeCell ref="AD301:AD302"/>
    <mergeCell ref="G303:G305"/>
    <mergeCell ref="H303:H305"/>
    <mergeCell ref="I303:I304"/>
    <mergeCell ref="L303:L304"/>
    <mergeCell ref="M303:M304"/>
    <mergeCell ref="N303:N304"/>
    <mergeCell ref="O303:O304"/>
    <mergeCell ref="R303:R304"/>
    <mergeCell ref="S303:S304"/>
    <mergeCell ref="T303:T304"/>
    <mergeCell ref="U303:U304"/>
    <mergeCell ref="X303:X304"/>
    <mergeCell ref="Y303:Y304"/>
    <mergeCell ref="Z303:Z304"/>
    <mergeCell ref="AA303:AA304"/>
    <mergeCell ref="AB303:AB304"/>
    <mergeCell ref="AC303:AC304"/>
    <mergeCell ref="AD303:AD304"/>
    <mergeCell ref="Z295:Z296"/>
    <mergeCell ref="AA295:AA296"/>
    <mergeCell ref="AD295:AD296"/>
    <mergeCell ref="I298:I299"/>
    <mergeCell ref="L298:L299"/>
    <mergeCell ref="M298:M299"/>
    <mergeCell ref="N298:N299"/>
    <mergeCell ref="O298:O299"/>
    <mergeCell ref="R298:R299"/>
    <mergeCell ref="S298:S299"/>
    <mergeCell ref="T298:T299"/>
    <mergeCell ref="U298:U299"/>
    <mergeCell ref="X298:X299"/>
    <mergeCell ref="A301:A308"/>
    <mergeCell ref="B301:B308"/>
    <mergeCell ref="C301:C308"/>
    <mergeCell ref="D301:D308"/>
    <mergeCell ref="E301:E308"/>
    <mergeCell ref="F301:F308"/>
    <mergeCell ref="G301:G302"/>
    <mergeCell ref="H301:H302"/>
    <mergeCell ref="I301:I302"/>
    <mergeCell ref="L301:L302"/>
    <mergeCell ref="M301:M302"/>
    <mergeCell ref="N301:N302"/>
    <mergeCell ref="O301:O302"/>
    <mergeCell ref="R301:R302"/>
    <mergeCell ref="T301:T302"/>
    <mergeCell ref="U301:U302"/>
    <mergeCell ref="X301:X302"/>
    <mergeCell ref="Y301:Y302"/>
    <mergeCell ref="Z301:Z302"/>
    <mergeCell ref="O292:O293"/>
    <mergeCell ref="R292:R293"/>
    <mergeCell ref="A295:A300"/>
    <mergeCell ref="B295:B300"/>
    <mergeCell ref="C295:C300"/>
    <mergeCell ref="D295:D300"/>
    <mergeCell ref="E295:E300"/>
    <mergeCell ref="F295:F300"/>
    <mergeCell ref="G295:G297"/>
    <mergeCell ref="H295:H297"/>
    <mergeCell ref="I295:I296"/>
    <mergeCell ref="L295:L296"/>
    <mergeCell ref="M295:M296"/>
    <mergeCell ref="N295:N296"/>
    <mergeCell ref="O295:O296"/>
    <mergeCell ref="R295:R296"/>
    <mergeCell ref="Y295:Y296"/>
    <mergeCell ref="AM285:AM286"/>
    <mergeCell ref="AP285:AP286"/>
    <mergeCell ref="A287:A294"/>
    <mergeCell ref="B287:B294"/>
    <mergeCell ref="C287:C294"/>
    <mergeCell ref="D287:D294"/>
    <mergeCell ref="E287:E294"/>
    <mergeCell ref="F287:F294"/>
    <mergeCell ref="G287:G289"/>
    <mergeCell ref="H287:H289"/>
    <mergeCell ref="I287:I288"/>
    <mergeCell ref="L287:L288"/>
    <mergeCell ref="M287:M288"/>
    <mergeCell ref="N287:N288"/>
    <mergeCell ref="O287:O288"/>
    <mergeCell ref="R287:R288"/>
    <mergeCell ref="S287:S288"/>
    <mergeCell ref="T287:T288"/>
    <mergeCell ref="U287:U288"/>
    <mergeCell ref="X287:X288"/>
    <mergeCell ref="AA287:AA288"/>
    <mergeCell ref="AD287:AD288"/>
    <mergeCell ref="G290:G291"/>
    <mergeCell ref="H290:H291"/>
    <mergeCell ref="I290:I291"/>
    <mergeCell ref="L290:L291"/>
    <mergeCell ref="G292:G293"/>
    <mergeCell ref="H292:H293"/>
    <mergeCell ref="I292:I293"/>
    <mergeCell ref="L292:L293"/>
    <mergeCell ref="M292:M293"/>
    <mergeCell ref="N292:N293"/>
    <mergeCell ref="S280:S281"/>
    <mergeCell ref="T280:T281"/>
    <mergeCell ref="U280:U281"/>
    <mergeCell ref="X280:X281"/>
    <mergeCell ref="G282:G283"/>
    <mergeCell ref="H282:H283"/>
    <mergeCell ref="I282:I283"/>
    <mergeCell ref="L282:L283"/>
    <mergeCell ref="S282:S283"/>
    <mergeCell ref="T282:T283"/>
    <mergeCell ref="U282:U283"/>
    <mergeCell ref="X282:X283"/>
    <mergeCell ref="A285:A286"/>
    <mergeCell ref="B285:B286"/>
    <mergeCell ref="C285:C286"/>
    <mergeCell ref="D285:D286"/>
    <mergeCell ref="E285:E286"/>
    <mergeCell ref="F285:F286"/>
    <mergeCell ref="A277:A279"/>
    <mergeCell ref="B277:B279"/>
    <mergeCell ref="C277:C279"/>
    <mergeCell ref="D277:D279"/>
    <mergeCell ref="E277:E279"/>
    <mergeCell ref="F277:F279"/>
    <mergeCell ref="G277:G279"/>
    <mergeCell ref="H277:H279"/>
    <mergeCell ref="I277:I278"/>
    <mergeCell ref="L277:L278"/>
    <mergeCell ref="M277:M278"/>
    <mergeCell ref="N277:N278"/>
    <mergeCell ref="O277:O278"/>
    <mergeCell ref="R277:R278"/>
    <mergeCell ref="A280:A284"/>
    <mergeCell ref="B280:B284"/>
    <mergeCell ref="C280:C284"/>
    <mergeCell ref="D280:D284"/>
    <mergeCell ref="E280:E284"/>
    <mergeCell ref="F280:F284"/>
    <mergeCell ref="G280:G281"/>
    <mergeCell ref="H280:H281"/>
    <mergeCell ref="I280:I281"/>
    <mergeCell ref="L280:L281"/>
    <mergeCell ref="M280:M281"/>
    <mergeCell ref="N280:N281"/>
    <mergeCell ref="O280:O281"/>
    <mergeCell ref="R280:R281"/>
    <mergeCell ref="A275:A276"/>
    <mergeCell ref="B275:B276"/>
    <mergeCell ref="C275:C276"/>
    <mergeCell ref="D275:D276"/>
    <mergeCell ref="E275:E276"/>
    <mergeCell ref="F275:F276"/>
    <mergeCell ref="M275:M276"/>
    <mergeCell ref="N275:N276"/>
    <mergeCell ref="O275:O276"/>
    <mergeCell ref="R275:R276"/>
    <mergeCell ref="S275:S276"/>
    <mergeCell ref="T275:T276"/>
    <mergeCell ref="U275:U276"/>
    <mergeCell ref="X275:X276"/>
    <mergeCell ref="AG275:AG276"/>
    <mergeCell ref="AJ275:AJ276"/>
    <mergeCell ref="A272:A274"/>
    <mergeCell ref="B272:B274"/>
    <mergeCell ref="C272:C274"/>
    <mergeCell ref="D272:D274"/>
    <mergeCell ref="E272:E274"/>
    <mergeCell ref="F272:F274"/>
    <mergeCell ref="G272:G274"/>
    <mergeCell ref="H272:H274"/>
    <mergeCell ref="I272:I273"/>
    <mergeCell ref="L272:L273"/>
    <mergeCell ref="M272:M273"/>
    <mergeCell ref="N272:N273"/>
    <mergeCell ref="O272:O273"/>
    <mergeCell ref="R272:R273"/>
    <mergeCell ref="AE272:AE273"/>
    <mergeCell ref="AF272:AF273"/>
    <mergeCell ref="AK266:AK267"/>
    <mergeCell ref="AL266:AL267"/>
    <mergeCell ref="AM266:AM267"/>
    <mergeCell ref="AP266:AP267"/>
    <mergeCell ref="A268:A271"/>
    <mergeCell ref="B268:B271"/>
    <mergeCell ref="C268:C271"/>
    <mergeCell ref="D268:D271"/>
    <mergeCell ref="E268:E271"/>
    <mergeCell ref="F268:F271"/>
    <mergeCell ref="G268:G269"/>
    <mergeCell ref="H268:H269"/>
    <mergeCell ref="I268:I269"/>
    <mergeCell ref="L268:L269"/>
    <mergeCell ref="AE268:AE269"/>
    <mergeCell ref="AF268:AF269"/>
    <mergeCell ref="AG268:AG269"/>
    <mergeCell ref="AJ268:AJ269"/>
    <mergeCell ref="G270:G271"/>
    <mergeCell ref="H270:H271"/>
    <mergeCell ref="I270:I271"/>
    <mergeCell ref="L270:L271"/>
    <mergeCell ref="S270:S271"/>
    <mergeCell ref="T270:T271"/>
    <mergeCell ref="U270:U271"/>
    <mergeCell ref="X270:X271"/>
    <mergeCell ref="AJ266:AJ267"/>
    <mergeCell ref="AG272:AG273"/>
    <mergeCell ref="AJ272:AJ273"/>
    <mergeCell ref="AJ261:AJ262"/>
    <mergeCell ref="AK261:AK262"/>
    <mergeCell ref="AL261:AL262"/>
    <mergeCell ref="A264:A265"/>
    <mergeCell ref="B264:B265"/>
    <mergeCell ref="C264:C265"/>
    <mergeCell ref="D264:D265"/>
    <mergeCell ref="E264:E265"/>
    <mergeCell ref="F264:F265"/>
    <mergeCell ref="U264:U265"/>
    <mergeCell ref="X264:X265"/>
    <mergeCell ref="AM264:AM265"/>
    <mergeCell ref="AP264:AP265"/>
    <mergeCell ref="A266:A267"/>
    <mergeCell ref="B266:B267"/>
    <mergeCell ref="C266:C267"/>
    <mergeCell ref="D266:D267"/>
    <mergeCell ref="E266:E267"/>
    <mergeCell ref="F266:F267"/>
    <mergeCell ref="S266:S267"/>
    <mergeCell ref="T266:T267"/>
    <mergeCell ref="U266:U267"/>
    <mergeCell ref="X266:X267"/>
    <mergeCell ref="Y266:Y267"/>
    <mergeCell ref="Z266:Z267"/>
    <mergeCell ref="AA266:AA267"/>
    <mergeCell ref="AD266:AD267"/>
    <mergeCell ref="AE266:AE267"/>
    <mergeCell ref="AF266:AF267"/>
    <mergeCell ref="AG266:AG267"/>
    <mergeCell ref="AE257:AE258"/>
    <mergeCell ref="AF257:AF258"/>
    <mergeCell ref="AG257:AG258"/>
    <mergeCell ref="AJ257:AJ258"/>
    <mergeCell ref="AM257:AM258"/>
    <mergeCell ref="AP257:AP258"/>
    <mergeCell ref="M259:M260"/>
    <mergeCell ref="N259:N260"/>
    <mergeCell ref="O259:O260"/>
    <mergeCell ref="R259:R260"/>
    <mergeCell ref="A261:A263"/>
    <mergeCell ref="B261:B263"/>
    <mergeCell ref="C261:C263"/>
    <mergeCell ref="D261:D263"/>
    <mergeCell ref="E261:E263"/>
    <mergeCell ref="F261:F263"/>
    <mergeCell ref="G261:G263"/>
    <mergeCell ref="H261:H263"/>
    <mergeCell ref="I261:I262"/>
    <mergeCell ref="M261:M262"/>
    <mergeCell ref="N261:N262"/>
    <mergeCell ref="O261:O262"/>
    <mergeCell ref="R261:R262"/>
    <mergeCell ref="S261:S262"/>
    <mergeCell ref="T261:T262"/>
    <mergeCell ref="U261:U262"/>
    <mergeCell ref="X261:X262"/>
    <mergeCell ref="Y261:Y262"/>
    <mergeCell ref="Z261:Z262"/>
    <mergeCell ref="AA261:AA262"/>
    <mergeCell ref="AD261:AD262"/>
    <mergeCell ref="AG261:AG262"/>
    <mergeCell ref="U251:U252"/>
    <mergeCell ref="X251:X252"/>
    <mergeCell ref="Y251:Y252"/>
    <mergeCell ref="Z251:Z252"/>
    <mergeCell ref="AA251:AA252"/>
    <mergeCell ref="AD251:AD252"/>
    <mergeCell ref="G254:G256"/>
    <mergeCell ref="H254:H256"/>
    <mergeCell ref="I254:I255"/>
    <mergeCell ref="L254:L255"/>
    <mergeCell ref="A257:A260"/>
    <mergeCell ref="B257:B260"/>
    <mergeCell ref="C257:C260"/>
    <mergeCell ref="D257:D260"/>
    <mergeCell ref="E257:E260"/>
    <mergeCell ref="F257:F260"/>
    <mergeCell ref="M257:M258"/>
    <mergeCell ref="N257:N258"/>
    <mergeCell ref="O257:O258"/>
    <mergeCell ref="R257:R258"/>
    <mergeCell ref="A251:A256"/>
    <mergeCell ref="B251:B256"/>
    <mergeCell ref="C251:C256"/>
    <mergeCell ref="D251:D256"/>
    <mergeCell ref="E251:E256"/>
    <mergeCell ref="F251:F256"/>
    <mergeCell ref="G251:G253"/>
    <mergeCell ref="H251:H253"/>
    <mergeCell ref="I251:I252"/>
    <mergeCell ref="L251:L252"/>
    <mergeCell ref="M251:M252"/>
    <mergeCell ref="N251:N252"/>
    <mergeCell ref="O251:O252"/>
    <mergeCell ref="R251:R252"/>
    <mergeCell ref="S251:S252"/>
    <mergeCell ref="T251:T252"/>
    <mergeCell ref="AM243:AM244"/>
    <mergeCell ref="AP243:AP244"/>
    <mergeCell ref="A246:A250"/>
    <mergeCell ref="B246:B250"/>
    <mergeCell ref="C246:C250"/>
    <mergeCell ref="D246:D250"/>
    <mergeCell ref="E246:E250"/>
    <mergeCell ref="F246:F250"/>
    <mergeCell ref="G246:G247"/>
    <mergeCell ref="H246:H247"/>
    <mergeCell ref="I246:I247"/>
    <mergeCell ref="L246:L247"/>
    <mergeCell ref="S246:S247"/>
    <mergeCell ref="T246:T247"/>
    <mergeCell ref="U246:U247"/>
    <mergeCell ref="X246:X247"/>
    <mergeCell ref="Y246:Y247"/>
    <mergeCell ref="Z246:Z247"/>
    <mergeCell ref="AA246:AA247"/>
    <mergeCell ref="AD246:AD247"/>
    <mergeCell ref="G248:G250"/>
    <mergeCell ref="H248:H250"/>
    <mergeCell ref="I248:I249"/>
    <mergeCell ref="L248:L249"/>
    <mergeCell ref="S248:S249"/>
    <mergeCell ref="T248:T249"/>
    <mergeCell ref="U248:U249"/>
    <mergeCell ref="V248:V249"/>
    <mergeCell ref="W248:W249"/>
    <mergeCell ref="X248:X249"/>
    <mergeCell ref="A241:A242"/>
    <mergeCell ref="B241:B242"/>
    <mergeCell ref="C241:C242"/>
    <mergeCell ref="D241:D242"/>
    <mergeCell ref="E241:E242"/>
    <mergeCell ref="F241:F242"/>
    <mergeCell ref="AE241:AE242"/>
    <mergeCell ref="AF241:AF242"/>
    <mergeCell ref="AG241:AG242"/>
    <mergeCell ref="AJ241:AJ242"/>
    <mergeCell ref="A243:A245"/>
    <mergeCell ref="B243:B245"/>
    <mergeCell ref="C243:C245"/>
    <mergeCell ref="D243:D245"/>
    <mergeCell ref="E243:E245"/>
    <mergeCell ref="F243:F245"/>
    <mergeCell ref="G243:G245"/>
    <mergeCell ref="H243:H245"/>
    <mergeCell ref="I243:I244"/>
    <mergeCell ref="L243:L244"/>
    <mergeCell ref="AE243:AE244"/>
    <mergeCell ref="AF243:AF244"/>
    <mergeCell ref="X237:X238"/>
    <mergeCell ref="Y237:Y238"/>
    <mergeCell ref="Z237:Z238"/>
    <mergeCell ref="AA237:AA238"/>
    <mergeCell ref="AD237:AD238"/>
    <mergeCell ref="AE237:AE238"/>
    <mergeCell ref="AF237:AF238"/>
    <mergeCell ref="AG237:AG238"/>
    <mergeCell ref="AJ237:AJ238"/>
    <mergeCell ref="G239:G240"/>
    <mergeCell ref="H239:H240"/>
    <mergeCell ref="I239:I240"/>
    <mergeCell ref="L239:L240"/>
    <mergeCell ref="M239:M240"/>
    <mergeCell ref="N239:N240"/>
    <mergeCell ref="O239:O240"/>
    <mergeCell ref="R239:R240"/>
    <mergeCell ref="A237:A240"/>
    <mergeCell ref="B237:B240"/>
    <mergeCell ref="C237:C240"/>
    <mergeCell ref="D237:D240"/>
    <mergeCell ref="E237:E240"/>
    <mergeCell ref="F237:F240"/>
    <mergeCell ref="G237:G238"/>
    <mergeCell ref="H237:H238"/>
    <mergeCell ref="I237:I238"/>
    <mergeCell ref="L237:L238"/>
    <mergeCell ref="M237:M238"/>
    <mergeCell ref="N237:N238"/>
    <mergeCell ref="O237:O238"/>
    <mergeCell ref="R237:R238"/>
    <mergeCell ref="S237:S238"/>
    <mergeCell ref="T237:T238"/>
    <mergeCell ref="U237:U238"/>
    <mergeCell ref="A233:A236"/>
    <mergeCell ref="B233:B236"/>
    <mergeCell ref="C233:C236"/>
    <mergeCell ref="D233:D236"/>
    <mergeCell ref="E233:E236"/>
    <mergeCell ref="F233:F236"/>
    <mergeCell ref="M233:M234"/>
    <mergeCell ref="N233:N234"/>
    <mergeCell ref="O233:O234"/>
    <mergeCell ref="R233:R234"/>
    <mergeCell ref="S233:S234"/>
    <mergeCell ref="T233:T234"/>
    <mergeCell ref="U233:U234"/>
    <mergeCell ref="X233:X234"/>
    <mergeCell ref="AG233:AG234"/>
    <mergeCell ref="AJ233:AJ234"/>
    <mergeCell ref="G235:H236"/>
    <mergeCell ref="I235:I236"/>
    <mergeCell ref="L235:L236"/>
    <mergeCell ref="M235:N236"/>
    <mergeCell ref="O235:O236"/>
    <mergeCell ref="R235:R236"/>
    <mergeCell ref="S235:T236"/>
    <mergeCell ref="U235:U236"/>
    <mergeCell ref="X235:X236"/>
    <mergeCell ref="Y235:Z236"/>
    <mergeCell ref="AA235:AA236"/>
    <mergeCell ref="AD235:AD236"/>
    <mergeCell ref="A227:A232"/>
    <mergeCell ref="B227:B232"/>
    <mergeCell ref="C227:C232"/>
    <mergeCell ref="D227:D232"/>
    <mergeCell ref="E227:E232"/>
    <mergeCell ref="F227:F232"/>
    <mergeCell ref="G227:G229"/>
    <mergeCell ref="H227:H229"/>
    <mergeCell ref="I227:I228"/>
    <mergeCell ref="L227:L228"/>
    <mergeCell ref="S217:S218"/>
    <mergeCell ref="T217:T218"/>
    <mergeCell ref="S227:S228"/>
    <mergeCell ref="T227:T228"/>
    <mergeCell ref="U227:U228"/>
    <mergeCell ref="X227:X228"/>
    <mergeCell ref="G230:G231"/>
    <mergeCell ref="H230:H231"/>
    <mergeCell ref="I230:I231"/>
    <mergeCell ref="L230:L231"/>
    <mergeCell ref="U217:U218"/>
    <mergeCell ref="X217:X218"/>
    <mergeCell ref="A219:A226"/>
    <mergeCell ref="B219:B226"/>
    <mergeCell ref="C219:C226"/>
    <mergeCell ref="D219:D226"/>
    <mergeCell ref="E219:E226"/>
    <mergeCell ref="F219:F226"/>
    <mergeCell ref="G219:G220"/>
    <mergeCell ref="H219:H220"/>
    <mergeCell ref="I219:I220"/>
    <mergeCell ref="L219:L220"/>
    <mergeCell ref="M219:M220"/>
    <mergeCell ref="N219:N220"/>
    <mergeCell ref="O219:O220"/>
    <mergeCell ref="R219:R220"/>
    <mergeCell ref="S219:S220"/>
    <mergeCell ref="T219:T220"/>
    <mergeCell ref="U219:U220"/>
    <mergeCell ref="X219:X220"/>
    <mergeCell ref="G221:G222"/>
    <mergeCell ref="H221:H222"/>
    <mergeCell ref="I221:I222"/>
    <mergeCell ref="L221:L222"/>
    <mergeCell ref="M221:M222"/>
    <mergeCell ref="N221:N222"/>
    <mergeCell ref="O221:O222"/>
    <mergeCell ref="R221:R222"/>
    <mergeCell ref="G223:G224"/>
    <mergeCell ref="H223:H224"/>
    <mergeCell ref="I223:I224"/>
    <mergeCell ref="L223:L224"/>
    <mergeCell ref="A215:A216"/>
    <mergeCell ref="B215:B216"/>
    <mergeCell ref="C215:C216"/>
    <mergeCell ref="D215:D216"/>
    <mergeCell ref="E215:E216"/>
    <mergeCell ref="F215:F216"/>
    <mergeCell ref="M215:M216"/>
    <mergeCell ref="N215:N216"/>
    <mergeCell ref="O215:O216"/>
    <mergeCell ref="R215:R216"/>
    <mergeCell ref="A217:A218"/>
    <mergeCell ref="B217:B218"/>
    <mergeCell ref="C217:C218"/>
    <mergeCell ref="D217:D218"/>
    <mergeCell ref="E217:E218"/>
    <mergeCell ref="F217:F218"/>
    <mergeCell ref="G217:G218"/>
    <mergeCell ref="H217:H218"/>
    <mergeCell ref="I217:I218"/>
    <mergeCell ref="L217:L218"/>
    <mergeCell ref="M217:M218"/>
    <mergeCell ref="N217:N218"/>
    <mergeCell ref="O217:O218"/>
    <mergeCell ref="R217:R218"/>
    <mergeCell ref="A211:A212"/>
    <mergeCell ref="B211:B212"/>
    <mergeCell ref="C211:C212"/>
    <mergeCell ref="D211:D212"/>
    <mergeCell ref="E211:E212"/>
    <mergeCell ref="F211:F212"/>
    <mergeCell ref="M211:M212"/>
    <mergeCell ref="N211:N212"/>
    <mergeCell ref="O211:O212"/>
    <mergeCell ref="R211:R212"/>
    <mergeCell ref="AG211:AG212"/>
    <mergeCell ref="AJ211:AJ212"/>
    <mergeCell ref="AK211:AK212"/>
    <mergeCell ref="AL211:AL212"/>
    <mergeCell ref="AM211:AM212"/>
    <mergeCell ref="AP211:AP212"/>
    <mergeCell ref="A213:A214"/>
    <mergeCell ref="B213:B214"/>
    <mergeCell ref="C213:C214"/>
    <mergeCell ref="D213:D214"/>
    <mergeCell ref="E213:E214"/>
    <mergeCell ref="F213:F214"/>
    <mergeCell ref="G213:G214"/>
    <mergeCell ref="H213:H214"/>
    <mergeCell ref="I213:I214"/>
    <mergeCell ref="L213:L214"/>
    <mergeCell ref="M213:M214"/>
    <mergeCell ref="N213:N214"/>
    <mergeCell ref="O213:O214"/>
    <mergeCell ref="R213:R214"/>
    <mergeCell ref="AK207:AK208"/>
    <mergeCell ref="AL207:AL208"/>
    <mergeCell ref="AM207:AM208"/>
    <mergeCell ref="AN207:AN208"/>
    <mergeCell ref="AO207:AO208"/>
    <mergeCell ref="AP207:AP208"/>
    <mergeCell ref="A209:A210"/>
    <mergeCell ref="B209:B210"/>
    <mergeCell ref="C209:C210"/>
    <mergeCell ref="D209:D210"/>
    <mergeCell ref="E209:E210"/>
    <mergeCell ref="F209:F210"/>
    <mergeCell ref="U209:U210"/>
    <mergeCell ref="X209:X210"/>
    <mergeCell ref="AG209:AG210"/>
    <mergeCell ref="AJ209:AJ210"/>
    <mergeCell ref="AK209:AK210"/>
    <mergeCell ref="AL209:AL210"/>
    <mergeCell ref="AM209:AM210"/>
    <mergeCell ref="AN209:AN210"/>
    <mergeCell ref="AO209:AO210"/>
    <mergeCell ref="AP209:AP210"/>
    <mergeCell ref="X205:X206"/>
    <mergeCell ref="Y205:Y206"/>
    <mergeCell ref="Z205:Z206"/>
    <mergeCell ref="AA205:AA206"/>
    <mergeCell ref="AD205:AD206"/>
    <mergeCell ref="A207:A208"/>
    <mergeCell ref="B207:B208"/>
    <mergeCell ref="C207:C208"/>
    <mergeCell ref="D207:D208"/>
    <mergeCell ref="E207:E208"/>
    <mergeCell ref="F207:F208"/>
    <mergeCell ref="S207:S208"/>
    <mergeCell ref="T207:T208"/>
    <mergeCell ref="U207:U208"/>
    <mergeCell ref="X207:X208"/>
    <mergeCell ref="Y207:Y208"/>
    <mergeCell ref="Z207:Z208"/>
    <mergeCell ref="AA207:AA208"/>
    <mergeCell ref="AD207:AD208"/>
    <mergeCell ref="A205:A206"/>
    <mergeCell ref="B205:B206"/>
    <mergeCell ref="C205:C206"/>
    <mergeCell ref="D205:D206"/>
    <mergeCell ref="E205:E206"/>
    <mergeCell ref="F205:F206"/>
    <mergeCell ref="M205:M206"/>
    <mergeCell ref="N205:N206"/>
    <mergeCell ref="O205:O206"/>
    <mergeCell ref="R205:R206"/>
    <mergeCell ref="S205:S206"/>
    <mergeCell ref="T205:T206"/>
    <mergeCell ref="U205:U206"/>
    <mergeCell ref="R194:R195"/>
    <mergeCell ref="A196:A199"/>
    <mergeCell ref="B196:B199"/>
    <mergeCell ref="C196:C199"/>
    <mergeCell ref="D196:D199"/>
    <mergeCell ref="E196:E199"/>
    <mergeCell ref="F196:F199"/>
    <mergeCell ref="M196:M197"/>
    <mergeCell ref="N196:N197"/>
    <mergeCell ref="O196:O197"/>
    <mergeCell ref="R196:R197"/>
    <mergeCell ref="AK196:AK197"/>
    <mergeCell ref="AL196:AL197"/>
    <mergeCell ref="AM196:AM197"/>
    <mergeCell ref="N203:N204"/>
    <mergeCell ref="O203:O204"/>
    <mergeCell ref="R203:R204"/>
    <mergeCell ref="A200:A204"/>
    <mergeCell ref="B200:B204"/>
    <mergeCell ref="C200:C204"/>
    <mergeCell ref="D200:D204"/>
    <mergeCell ref="E200:E204"/>
    <mergeCell ref="F200:F204"/>
    <mergeCell ref="G200:G202"/>
    <mergeCell ref="H200:H202"/>
    <mergeCell ref="I200:I201"/>
    <mergeCell ref="L200:L201"/>
    <mergeCell ref="G203:G204"/>
    <mergeCell ref="H203:H204"/>
    <mergeCell ref="I203:I204"/>
    <mergeCell ref="L203:L204"/>
    <mergeCell ref="M203:M204"/>
    <mergeCell ref="AP196:AP197"/>
    <mergeCell ref="AK198:AK199"/>
    <mergeCell ref="AL198:AL199"/>
    <mergeCell ref="AM198:AM199"/>
    <mergeCell ref="AN198:AN199"/>
    <mergeCell ref="AO198:AO199"/>
    <mergeCell ref="AP198:AP199"/>
    <mergeCell ref="AG190:AG191"/>
    <mergeCell ref="AJ190:AJ191"/>
    <mergeCell ref="A192:A195"/>
    <mergeCell ref="B192:B195"/>
    <mergeCell ref="C192:C195"/>
    <mergeCell ref="D192:D195"/>
    <mergeCell ref="E192:E195"/>
    <mergeCell ref="F192:F195"/>
    <mergeCell ref="G192:G193"/>
    <mergeCell ref="H192:H193"/>
    <mergeCell ref="I192:I193"/>
    <mergeCell ref="L192:L193"/>
    <mergeCell ref="M192:M193"/>
    <mergeCell ref="N192:N193"/>
    <mergeCell ref="O192:O193"/>
    <mergeCell ref="R192:R193"/>
    <mergeCell ref="S192:S193"/>
    <mergeCell ref="T192:T193"/>
    <mergeCell ref="U192:U193"/>
    <mergeCell ref="X192:X193"/>
    <mergeCell ref="AA192:AA193"/>
    <mergeCell ref="AD192:AD193"/>
    <mergeCell ref="AE192:AE193"/>
    <mergeCell ref="AF192:AF193"/>
    <mergeCell ref="AG192:AG193"/>
    <mergeCell ref="AJ192:AJ193"/>
    <mergeCell ref="M194:M195"/>
    <mergeCell ref="N194:N195"/>
    <mergeCell ref="O194:O195"/>
    <mergeCell ref="A188:A189"/>
    <mergeCell ref="B188:B189"/>
    <mergeCell ref="C188:C189"/>
    <mergeCell ref="D188:D189"/>
    <mergeCell ref="E188:E189"/>
    <mergeCell ref="F188:F189"/>
    <mergeCell ref="M188:M189"/>
    <mergeCell ref="N188:N189"/>
    <mergeCell ref="O188:O189"/>
    <mergeCell ref="P188:P189"/>
    <mergeCell ref="Q188:Q189"/>
    <mergeCell ref="R188:R189"/>
    <mergeCell ref="Y188:Y189"/>
    <mergeCell ref="Z188:Z189"/>
    <mergeCell ref="AA188:AA189"/>
    <mergeCell ref="AD188:AD189"/>
    <mergeCell ref="A190:A191"/>
    <mergeCell ref="B190:B191"/>
    <mergeCell ref="C190:C191"/>
    <mergeCell ref="D190:D191"/>
    <mergeCell ref="E190:E191"/>
    <mergeCell ref="F190:F191"/>
    <mergeCell ref="S190:T191"/>
    <mergeCell ref="U190:U191"/>
    <mergeCell ref="X190:X191"/>
    <mergeCell ref="Y190:Y191"/>
    <mergeCell ref="Z190:Z191"/>
    <mergeCell ref="AA190:AA191"/>
    <mergeCell ref="AD190:AD191"/>
    <mergeCell ref="X180:X181"/>
    <mergeCell ref="A182:A187"/>
    <mergeCell ref="B182:B187"/>
    <mergeCell ref="C182:C187"/>
    <mergeCell ref="D182:D187"/>
    <mergeCell ref="E182:E187"/>
    <mergeCell ref="F182:F187"/>
    <mergeCell ref="G182:G184"/>
    <mergeCell ref="H182:H184"/>
    <mergeCell ref="I182:I183"/>
    <mergeCell ref="L182:L183"/>
    <mergeCell ref="M182:M183"/>
    <mergeCell ref="N182:N183"/>
    <mergeCell ref="O182:O183"/>
    <mergeCell ref="R182:R183"/>
    <mergeCell ref="G185:G187"/>
    <mergeCell ref="H185:H187"/>
    <mergeCell ref="I185:I186"/>
    <mergeCell ref="L185:L186"/>
    <mergeCell ref="A176:A177"/>
    <mergeCell ref="B176:B177"/>
    <mergeCell ref="C176:C177"/>
    <mergeCell ref="D176:D177"/>
    <mergeCell ref="E176:E177"/>
    <mergeCell ref="F176:F177"/>
    <mergeCell ref="S176:S177"/>
    <mergeCell ref="T176:T177"/>
    <mergeCell ref="U176:U177"/>
    <mergeCell ref="X176:X177"/>
    <mergeCell ref="Y176:Y177"/>
    <mergeCell ref="Z176:Z177"/>
    <mergeCell ref="AA176:AA177"/>
    <mergeCell ref="AD176:AD177"/>
    <mergeCell ref="A178:A181"/>
    <mergeCell ref="B178:B181"/>
    <mergeCell ref="C178:C181"/>
    <mergeCell ref="D178:D181"/>
    <mergeCell ref="E178:E181"/>
    <mergeCell ref="F178:F181"/>
    <mergeCell ref="M178:M179"/>
    <mergeCell ref="N178:N179"/>
    <mergeCell ref="O178:O179"/>
    <mergeCell ref="R178:R179"/>
    <mergeCell ref="S178:S179"/>
    <mergeCell ref="T178:T179"/>
    <mergeCell ref="U178:U179"/>
    <mergeCell ref="X178:X179"/>
    <mergeCell ref="S180:S181"/>
    <mergeCell ref="T180:T181"/>
    <mergeCell ref="U180:U181"/>
    <mergeCell ref="A172:A175"/>
    <mergeCell ref="B172:B175"/>
    <mergeCell ref="C172:C175"/>
    <mergeCell ref="D172:D175"/>
    <mergeCell ref="E172:E175"/>
    <mergeCell ref="F172:F175"/>
    <mergeCell ref="M172:M173"/>
    <mergeCell ref="N172:N173"/>
    <mergeCell ref="O172:O173"/>
    <mergeCell ref="R172:R173"/>
    <mergeCell ref="S172:S173"/>
    <mergeCell ref="T172:T173"/>
    <mergeCell ref="U172:U173"/>
    <mergeCell ref="X172:X173"/>
    <mergeCell ref="M174:M175"/>
    <mergeCell ref="N174:N175"/>
    <mergeCell ref="O174:O175"/>
    <mergeCell ref="R174:R175"/>
    <mergeCell ref="S174:S175"/>
    <mergeCell ref="T174:T175"/>
    <mergeCell ref="U174:U175"/>
    <mergeCell ref="X174:X175"/>
    <mergeCell ref="N166:N167"/>
    <mergeCell ref="O166:O167"/>
    <mergeCell ref="R166:R167"/>
    <mergeCell ref="Y166:Y167"/>
    <mergeCell ref="Z166:Z167"/>
    <mergeCell ref="AA166:AA167"/>
    <mergeCell ref="AD166:AD167"/>
    <mergeCell ref="AK166:AK167"/>
    <mergeCell ref="AL166:AL167"/>
    <mergeCell ref="AM166:AM167"/>
    <mergeCell ref="AP166:AP167"/>
    <mergeCell ref="A168:A171"/>
    <mergeCell ref="B168:B171"/>
    <mergeCell ref="C168:C171"/>
    <mergeCell ref="D168:D171"/>
    <mergeCell ref="E168:E171"/>
    <mergeCell ref="F168:F171"/>
    <mergeCell ref="AE168:AE169"/>
    <mergeCell ref="AF168:AF169"/>
    <mergeCell ref="AG168:AG169"/>
    <mergeCell ref="AJ168:AJ169"/>
    <mergeCell ref="AE170:AE171"/>
    <mergeCell ref="AF170:AF171"/>
    <mergeCell ref="AG170:AG171"/>
    <mergeCell ref="AH170:AH171"/>
    <mergeCell ref="AI170:AI171"/>
    <mergeCell ref="AJ170:AJ171"/>
    <mergeCell ref="U168:U169"/>
    <mergeCell ref="X168:X169"/>
    <mergeCell ref="Y168:Y169"/>
    <mergeCell ref="Z168:Z169"/>
    <mergeCell ref="U166:U167"/>
    <mergeCell ref="A161:A162"/>
    <mergeCell ref="B161:B162"/>
    <mergeCell ref="C161:C162"/>
    <mergeCell ref="D161:D162"/>
    <mergeCell ref="E161:E162"/>
    <mergeCell ref="F161:F162"/>
    <mergeCell ref="G161:G162"/>
    <mergeCell ref="AK161:AK162"/>
    <mergeCell ref="AL161:AL162"/>
    <mergeCell ref="AM161:AM162"/>
    <mergeCell ref="AP161:AP162"/>
    <mergeCell ref="A163:A165"/>
    <mergeCell ref="B163:B165"/>
    <mergeCell ref="C163:C165"/>
    <mergeCell ref="D163:D165"/>
    <mergeCell ref="E163:E165"/>
    <mergeCell ref="F163:F165"/>
    <mergeCell ref="G163:G165"/>
    <mergeCell ref="H163:H165"/>
    <mergeCell ref="I163:I164"/>
    <mergeCell ref="L163:L164"/>
    <mergeCell ref="S163:S164"/>
    <mergeCell ref="T163:T164"/>
    <mergeCell ref="U163:U164"/>
    <mergeCell ref="X163:X164"/>
    <mergeCell ref="A153:A154"/>
    <mergeCell ref="B153:B154"/>
    <mergeCell ref="C153:C154"/>
    <mergeCell ref="D153:D154"/>
    <mergeCell ref="E153:E154"/>
    <mergeCell ref="F153:F154"/>
    <mergeCell ref="S153:S154"/>
    <mergeCell ref="T153:T154"/>
    <mergeCell ref="U153:U154"/>
    <mergeCell ref="X153:X154"/>
    <mergeCell ref="AE153:AE154"/>
    <mergeCell ref="AF153:AF154"/>
    <mergeCell ref="AG153:AG154"/>
    <mergeCell ref="AH153:AH154"/>
    <mergeCell ref="AI153:AI154"/>
    <mergeCell ref="AJ153:AJ154"/>
    <mergeCell ref="G157:G159"/>
    <mergeCell ref="H157:H159"/>
    <mergeCell ref="I157:I158"/>
    <mergeCell ref="L157:L158"/>
    <mergeCell ref="S157:S158"/>
    <mergeCell ref="T157:T158"/>
    <mergeCell ref="U157:U158"/>
    <mergeCell ref="X157:X158"/>
    <mergeCell ref="S159:S160"/>
    <mergeCell ref="T159:T160"/>
    <mergeCell ref="U159:U160"/>
    <mergeCell ref="X159:X160"/>
    <mergeCell ref="Y155:Y156"/>
    <mergeCell ref="Z155:Z156"/>
    <mergeCell ref="AA155:AA156"/>
    <mergeCell ref="AD155:AD156"/>
    <mergeCell ref="AI146:AI147"/>
    <mergeCell ref="AJ146:AJ147"/>
    <mergeCell ref="A148:A150"/>
    <mergeCell ref="B148:B150"/>
    <mergeCell ref="C148:C150"/>
    <mergeCell ref="D148:D150"/>
    <mergeCell ref="E148:E150"/>
    <mergeCell ref="F148:F150"/>
    <mergeCell ref="M148:M149"/>
    <mergeCell ref="N148:N149"/>
    <mergeCell ref="O148:O149"/>
    <mergeCell ref="R148:R149"/>
    <mergeCell ref="AK148:AK149"/>
    <mergeCell ref="AL148:AL149"/>
    <mergeCell ref="AM148:AM149"/>
    <mergeCell ref="AP148:AP149"/>
    <mergeCell ref="A151:A152"/>
    <mergeCell ref="B151:B152"/>
    <mergeCell ref="C151:C152"/>
    <mergeCell ref="D151:D152"/>
    <mergeCell ref="E151:E152"/>
    <mergeCell ref="F151:F152"/>
    <mergeCell ref="G151:G152"/>
    <mergeCell ref="M151:M152"/>
    <mergeCell ref="N151:N152"/>
    <mergeCell ref="O151:O152"/>
    <mergeCell ref="R151:R152"/>
    <mergeCell ref="AM151:AM152"/>
    <mergeCell ref="AP151:AP152"/>
    <mergeCell ref="AM138:AM139"/>
    <mergeCell ref="AP138:AP139"/>
    <mergeCell ref="S140:S141"/>
    <mergeCell ref="D134:D137"/>
    <mergeCell ref="T140:T141"/>
    <mergeCell ref="U140:U141"/>
    <mergeCell ref="X140:X141"/>
    <mergeCell ref="Y140:Z140"/>
    <mergeCell ref="AG140:AG141"/>
    <mergeCell ref="AJ140:AJ141"/>
    <mergeCell ref="S142:S143"/>
    <mergeCell ref="T142:T143"/>
    <mergeCell ref="U142:U143"/>
    <mergeCell ref="X142:X143"/>
    <mergeCell ref="A144:A147"/>
    <mergeCell ref="B144:B147"/>
    <mergeCell ref="C144:C147"/>
    <mergeCell ref="D144:D147"/>
    <mergeCell ref="E144:E147"/>
    <mergeCell ref="F144:F147"/>
    <mergeCell ref="G144:G145"/>
    <mergeCell ref="H144:H145"/>
    <mergeCell ref="I144:I145"/>
    <mergeCell ref="J144:J145"/>
    <mergeCell ref="K144:K145"/>
    <mergeCell ref="L144:L145"/>
    <mergeCell ref="AE144:AE145"/>
    <mergeCell ref="AF144:AF145"/>
    <mergeCell ref="AE146:AE147"/>
    <mergeCell ref="AF146:AF147"/>
    <mergeCell ref="AG146:AG147"/>
    <mergeCell ref="AH146:AH147"/>
    <mergeCell ref="Z127:Z128"/>
    <mergeCell ref="AA127:AA128"/>
    <mergeCell ref="AD127:AD128"/>
    <mergeCell ref="AE127:AE128"/>
    <mergeCell ref="AM136:AM137"/>
    <mergeCell ref="AP136:AP137"/>
    <mergeCell ref="A138:A143"/>
    <mergeCell ref="B138:B143"/>
    <mergeCell ref="C138:C143"/>
    <mergeCell ref="D138:D143"/>
    <mergeCell ref="E138:E143"/>
    <mergeCell ref="F138:F143"/>
    <mergeCell ref="G138:G139"/>
    <mergeCell ref="H138:H139"/>
    <mergeCell ref="I138:I139"/>
    <mergeCell ref="L138:L139"/>
    <mergeCell ref="M138:M139"/>
    <mergeCell ref="N138:N139"/>
    <mergeCell ref="O138:O139"/>
    <mergeCell ref="R138:R139"/>
    <mergeCell ref="S138:S139"/>
    <mergeCell ref="T138:T139"/>
    <mergeCell ref="U138:U139"/>
    <mergeCell ref="X138:X139"/>
    <mergeCell ref="Y138:Y139"/>
    <mergeCell ref="Z138:Z139"/>
    <mergeCell ref="AA138:AA139"/>
    <mergeCell ref="AD138:AD139"/>
    <mergeCell ref="AG138:AG139"/>
    <mergeCell ref="AJ138:AJ139"/>
    <mergeCell ref="AK138:AK139"/>
    <mergeCell ref="AL138:AL139"/>
    <mergeCell ref="AF127:AF128"/>
    <mergeCell ref="AG127:AG128"/>
    <mergeCell ref="AJ127:AJ128"/>
    <mergeCell ref="AK127:AK128"/>
    <mergeCell ref="AL127:AL128"/>
    <mergeCell ref="AM127:AM128"/>
    <mergeCell ref="AP127:AP128"/>
    <mergeCell ref="G129:G131"/>
    <mergeCell ref="H129:H131"/>
    <mergeCell ref="L129:L130"/>
    <mergeCell ref="M129:M130"/>
    <mergeCell ref="N129:N130"/>
    <mergeCell ref="O129:O130"/>
    <mergeCell ref="R129:R130"/>
    <mergeCell ref="AG134:AG135"/>
    <mergeCell ref="AJ134:AJ135"/>
    <mergeCell ref="AK134:AK135"/>
    <mergeCell ref="AL134:AL135"/>
    <mergeCell ref="AM134:AM135"/>
    <mergeCell ref="AP134:AP135"/>
    <mergeCell ref="G127:G128"/>
    <mergeCell ref="H127:H128"/>
    <mergeCell ref="I127:I128"/>
    <mergeCell ref="M127:M128"/>
    <mergeCell ref="N127:N128"/>
    <mergeCell ref="O127:O128"/>
    <mergeCell ref="R127:R128"/>
    <mergeCell ref="S127:S128"/>
    <mergeCell ref="T127:T128"/>
    <mergeCell ref="U127:U128"/>
    <mergeCell ref="X127:X128"/>
    <mergeCell ref="Y127:Y128"/>
    <mergeCell ref="M125:M126"/>
    <mergeCell ref="N125:N126"/>
    <mergeCell ref="O125:O126"/>
    <mergeCell ref="R125:R126"/>
    <mergeCell ref="S125:S126"/>
    <mergeCell ref="T125:T126"/>
    <mergeCell ref="U125:U126"/>
    <mergeCell ref="X125:X126"/>
    <mergeCell ref="Y125:Y126"/>
    <mergeCell ref="Z125:Z126"/>
    <mergeCell ref="AA125:AA126"/>
    <mergeCell ref="AB125:AB126"/>
    <mergeCell ref="AC125:AC126"/>
    <mergeCell ref="AD125:AD126"/>
    <mergeCell ref="AP117:AP118"/>
    <mergeCell ref="AK119:AK120"/>
    <mergeCell ref="AL119:AL120"/>
    <mergeCell ref="AM119:AM120"/>
    <mergeCell ref="AN119:AN120"/>
    <mergeCell ref="AO119:AO120"/>
    <mergeCell ref="AP119:AP120"/>
    <mergeCell ref="S123:S124"/>
    <mergeCell ref="T123:T124"/>
    <mergeCell ref="U123:U124"/>
    <mergeCell ref="X123:X124"/>
    <mergeCell ref="Y123:Y124"/>
    <mergeCell ref="Z123:Z124"/>
    <mergeCell ref="AA123:AA124"/>
    <mergeCell ref="AD123:AD124"/>
    <mergeCell ref="AM123:AM124"/>
    <mergeCell ref="AP123:AP124"/>
    <mergeCell ref="N121:N122"/>
    <mergeCell ref="R121:R122"/>
    <mergeCell ref="AM121:AM122"/>
    <mergeCell ref="AP121:AP122"/>
    <mergeCell ref="AP93:AP94"/>
    <mergeCell ref="AP95:AP96"/>
    <mergeCell ref="AP97:AP98"/>
    <mergeCell ref="AP99:AP100"/>
    <mergeCell ref="AP101:AP102"/>
    <mergeCell ref="U97:U98"/>
    <mergeCell ref="AA97:AA98"/>
    <mergeCell ref="AG97:AG98"/>
    <mergeCell ref="AM97:AM98"/>
    <mergeCell ref="I99:I100"/>
    <mergeCell ref="O99:O100"/>
    <mergeCell ref="U99:U100"/>
    <mergeCell ref="AA99:AA100"/>
    <mergeCell ref="AG99:AG100"/>
    <mergeCell ref="AM99:AM100"/>
    <mergeCell ref="R101:R102"/>
    <mergeCell ref="U101:U102"/>
    <mergeCell ref="X101:X102"/>
    <mergeCell ref="AA101:AA102"/>
    <mergeCell ref="A88:A89"/>
    <mergeCell ref="R93:R94"/>
    <mergeCell ref="R95:R96"/>
    <mergeCell ref="R97:R98"/>
    <mergeCell ref="R99:R100"/>
    <mergeCell ref="X93:X94"/>
    <mergeCell ref="X95:X96"/>
    <mergeCell ref="X97:X98"/>
    <mergeCell ref="X99:X100"/>
    <mergeCell ref="AK88:AK89"/>
    <mergeCell ref="AL88:AL89"/>
    <mergeCell ref="AM88:AM89"/>
    <mergeCell ref="AP88:AP89"/>
    <mergeCell ref="AD101:AD102"/>
    <mergeCell ref="AG101:AG102"/>
    <mergeCell ref="AJ101:AJ102"/>
    <mergeCell ref="AM101:AM102"/>
    <mergeCell ref="A93:H115"/>
    <mergeCell ref="I93:I94"/>
    <mergeCell ref="O93:O94"/>
    <mergeCell ref="U93:U94"/>
    <mergeCell ref="AA93:AA94"/>
    <mergeCell ref="AG93:AG94"/>
    <mergeCell ref="AM93:AM94"/>
    <mergeCell ref="I95:I96"/>
    <mergeCell ref="O95:O96"/>
    <mergeCell ref="U95:U96"/>
    <mergeCell ref="AA95:AA96"/>
    <mergeCell ref="AG95:AG96"/>
    <mergeCell ref="AM95:AM96"/>
    <mergeCell ref="I97:I98"/>
    <mergeCell ref="O97:O98"/>
    <mergeCell ref="A7:A8"/>
    <mergeCell ref="A9:A10"/>
    <mergeCell ref="A11:A14"/>
    <mergeCell ref="A15:A16"/>
    <mergeCell ref="A17:A18"/>
    <mergeCell ref="A19:A20"/>
    <mergeCell ref="A21:A22"/>
    <mergeCell ref="A24:A25"/>
    <mergeCell ref="A26:A27"/>
    <mergeCell ref="A28:A29"/>
    <mergeCell ref="A30:A31"/>
    <mergeCell ref="A32:A33"/>
    <mergeCell ref="A34:A35"/>
    <mergeCell ref="A36:A37"/>
    <mergeCell ref="A38:A39"/>
    <mergeCell ref="A40:A41"/>
    <mergeCell ref="A42:A45"/>
    <mergeCell ref="A46:A56"/>
    <mergeCell ref="A57:A61"/>
    <mergeCell ref="A62:A63"/>
    <mergeCell ref="A64:A73"/>
    <mergeCell ref="A74:A75"/>
    <mergeCell ref="A76:A77"/>
    <mergeCell ref="A78:A79"/>
    <mergeCell ref="A80:A81"/>
    <mergeCell ref="A82:A83"/>
    <mergeCell ref="A84:A85"/>
    <mergeCell ref="A86:A87"/>
    <mergeCell ref="B86:B87"/>
    <mergeCell ref="C86:C87"/>
    <mergeCell ref="D86:D87"/>
    <mergeCell ref="E86:E87"/>
    <mergeCell ref="F86:F87"/>
    <mergeCell ref="S86:S87"/>
    <mergeCell ref="B78:B79"/>
    <mergeCell ref="C78:C79"/>
    <mergeCell ref="D78:D79"/>
    <mergeCell ref="E78:E79"/>
    <mergeCell ref="F78:F79"/>
    <mergeCell ref="S78:S79"/>
    <mergeCell ref="R64:R65"/>
    <mergeCell ref="S64:T64"/>
    <mergeCell ref="G66:G67"/>
    <mergeCell ref="H66:H67"/>
    <mergeCell ref="I66:I67"/>
    <mergeCell ref="L66:L67"/>
    <mergeCell ref="G68:G69"/>
    <mergeCell ref="H68:H69"/>
    <mergeCell ref="T86:T87"/>
    <mergeCell ref="U86:U87"/>
    <mergeCell ref="X86:X87"/>
    <mergeCell ref="Y86:Y87"/>
    <mergeCell ref="Z86:Z87"/>
    <mergeCell ref="AA86:AA87"/>
    <mergeCell ref="AD86:AD87"/>
    <mergeCell ref="B88:B89"/>
    <mergeCell ref="C88:C89"/>
    <mergeCell ref="D88:D89"/>
    <mergeCell ref="E88:E89"/>
    <mergeCell ref="F88:F89"/>
    <mergeCell ref="G88:G89"/>
    <mergeCell ref="H88:H89"/>
    <mergeCell ref="I88:I89"/>
    <mergeCell ref="J88:J89"/>
    <mergeCell ref="K88:K89"/>
    <mergeCell ref="AE80:AE81"/>
    <mergeCell ref="AF80:AF81"/>
    <mergeCell ref="AG80:AG81"/>
    <mergeCell ref="AJ80:AJ81"/>
    <mergeCell ref="B82:B83"/>
    <mergeCell ref="C82:C83"/>
    <mergeCell ref="D82:D83"/>
    <mergeCell ref="E82:E83"/>
    <mergeCell ref="F82:F83"/>
    <mergeCell ref="G82:G83"/>
    <mergeCell ref="S82:S83"/>
    <mergeCell ref="T82:T83"/>
    <mergeCell ref="U82:U83"/>
    <mergeCell ref="X82:X83"/>
    <mergeCell ref="B84:B85"/>
    <mergeCell ref="C84:C85"/>
    <mergeCell ref="D84:D85"/>
    <mergeCell ref="E84:E85"/>
    <mergeCell ref="F84:F85"/>
    <mergeCell ref="G84:G85"/>
    <mergeCell ref="M84:M85"/>
    <mergeCell ref="S84:S85"/>
    <mergeCell ref="T84:T85"/>
    <mergeCell ref="U84:U85"/>
    <mergeCell ref="X84:X85"/>
    <mergeCell ref="AE84:AE85"/>
    <mergeCell ref="AF84:AF85"/>
    <mergeCell ref="AG84:AG85"/>
    <mergeCell ref="AJ84:AJ85"/>
    <mergeCell ref="T78:T79"/>
    <mergeCell ref="U78:U79"/>
    <mergeCell ref="X78:X79"/>
    <mergeCell ref="AA78:AA79"/>
    <mergeCell ref="AD78:AD79"/>
    <mergeCell ref="B80:B81"/>
    <mergeCell ref="C80:C81"/>
    <mergeCell ref="D80:D81"/>
    <mergeCell ref="E80:E81"/>
    <mergeCell ref="F80:F81"/>
    <mergeCell ref="M80:M81"/>
    <mergeCell ref="S80:S81"/>
    <mergeCell ref="T80:T81"/>
    <mergeCell ref="U80:U81"/>
    <mergeCell ref="X80:X81"/>
    <mergeCell ref="B74:B75"/>
    <mergeCell ref="C74:C75"/>
    <mergeCell ref="D74:D75"/>
    <mergeCell ref="E74:E75"/>
    <mergeCell ref="F74:F75"/>
    <mergeCell ref="AK74:AK75"/>
    <mergeCell ref="AL74:AL75"/>
    <mergeCell ref="AP74:AP75"/>
    <mergeCell ref="B76:B77"/>
    <mergeCell ref="C76:C77"/>
    <mergeCell ref="D76:D77"/>
    <mergeCell ref="E76:E77"/>
    <mergeCell ref="F76:F77"/>
    <mergeCell ref="G76:G77"/>
    <mergeCell ref="AG76:AG77"/>
    <mergeCell ref="AJ76:AJ77"/>
    <mergeCell ref="AK76:AK77"/>
    <mergeCell ref="AL76:AL77"/>
    <mergeCell ref="AM76:AM77"/>
    <mergeCell ref="AP76:AP77"/>
    <mergeCell ref="B62:B63"/>
    <mergeCell ref="C62:C63"/>
    <mergeCell ref="D62:D63"/>
    <mergeCell ref="E62:E63"/>
    <mergeCell ref="F62:F63"/>
    <mergeCell ref="AG62:AG63"/>
    <mergeCell ref="AJ62:AJ63"/>
    <mergeCell ref="B64:B73"/>
    <mergeCell ref="C64:C73"/>
    <mergeCell ref="D64:D73"/>
    <mergeCell ref="E64:E73"/>
    <mergeCell ref="F64:F73"/>
    <mergeCell ref="G64:G65"/>
    <mergeCell ref="H64:H65"/>
    <mergeCell ref="I64:I65"/>
    <mergeCell ref="L64:L65"/>
    <mergeCell ref="O64:O65"/>
    <mergeCell ref="I68:I69"/>
    <mergeCell ref="G70:G72"/>
    <mergeCell ref="H70:H72"/>
    <mergeCell ref="I70:I71"/>
    <mergeCell ref="L70:L71"/>
    <mergeCell ref="R57:R58"/>
    <mergeCell ref="S57:S58"/>
    <mergeCell ref="T57:T58"/>
    <mergeCell ref="U57:U58"/>
    <mergeCell ref="X57:X58"/>
    <mergeCell ref="Y57:Y58"/>
    <mergeCell ref="Z57:Z58"/>
    <mergeCell ref="AA57:AA58"/>
    <mergeCell ref="AD57:AD58"/>
    <mergeCell ref="AE57:AE58"/>
    <mergeCell ref="AF57:AF58"/>
    <mergeCell ref="AG57:AG58"/>
    <mergeCell ref="AJ57:AJ58"/>
    <mergeCell ref="AK57:AK58"/>
    <mergeCell ref="AL57:AL58"/>
    <mergeCell ref="AM57:AM58"/>
    <mergeCell ref="AP57:AP58"/>
    <mergeCell ref="I53:I54"/>
    <mergeCell ref="L53:L54"/>
    <mergeCell ref="B57:B61"/>
    <mergeCell ref="C57:C61"/>
    <mergeCell ref="D57:D61"/>
    <mergeCell ref="E57:E61"/>
    <mergeCell ref="F57:F61"/>
    <mergeCell ref="G57:G59"/>
    <mergeCell ref="H57:H59"/>
    <mergeCell ref="I57:I58"/>
    <mergeCell ref="L57:L58"/>
    <mergeCell ref="M57:M58"/>
    <mergeCell ref="N57:N58"/>
    <mergeCell ref="O57:O58"/>
    <mergeCell ref="G60:G61"/>
    <mergeCell ref="H60:H61"/>
    <mergeCell ref="AD40:AD41"/>
    <mergeCell ref="B42:B45"/>
    <mergeCell ref="C42:C45"/>
    <mergeCell ref="D42:D45"/>
    <mergeCell ref="E42:E45"/>
    <mergeCell ref="F42:F45"/>
    <mergeCell ref="G42:G43"/>
    <mergeCell ref="H42:H43"/>
    <mergeCell ref="I42:I43"/>
    <mergeCell ref="L42:L43"/>
    <mergeCell ref="G44:G45"/>
    <mergeCell ref="H44:H45"/>
    <mergeCell ref="B46:B56"/>
    <mergeCell ref="C46:C56"/>
    <mergeCell ref="D46:D56"/>
    <mergeCell ref="E46:E56"/>
    <mergeCell ref="F46:F56"/>
    <mergeCell ref="G47:G50"/>
    <mergeCell ref="H47:H50"/>
    <mergeCell ref="I47:I48"/>
    <mergeCell ref="G51:G52"/>
    <mergeCell ref="H51:H52"/>
    <mergeCell ref="I51:I52"/>
    <mergeCell ref="L51:L52"/>
    <mergeCell ref="M51:M52"/>
    <mergeCell ref="N51:N52"/>
    <mergeCell ref="O51:O52"/>
    <mergeCell ref="R51:R52"/>
    <mergeCell ref="G53:G54"/>
    <mergeCell ref="H53:H54"/>
    <mergeCell ref="B40:B41"/>
    <mergeCell ref="C40:C41"/>
    <mergeCell ref="D40:D41"/>
    <mergeCell ref="E40:E41"/>
    <mergeCell ref="F40:F41"/>
    <mergeCell ref="M40:M41"/>
    <mergeCell ref="N40:N41"/>
    <mergeCell ref="O40:O41"/>
    <mergeCell ref="R40:R41"/>
    <mergeCell ref="S40:S41"/>
    <mergeCell ref="T40:T41"/>
    <mergeCell ref="U40:U41"/>
    <mergeCell ref="X40:X41"/>
    <mergeCell ref="Y40:Y41"/>
    <mergeCell ref="Z40:Z41"/>
    <mergeCell ref="AA40:AA41"/>
    <mergeCell ref="B36:B37"/>
    <mergeCell ref="C36:C37"/>
    <mergeCell ref="D36:D37"/>
    <mergeCell ref="E36:E37"/>
    <mergeCell ref="F36:F37"/>
    <mergeCell ref="M36:M37"/>
    <mergeCell ref="N36:N37"/>
    <mergeCell ref="O36:O37"/>
    <mergeCell ref="R36:R37"/>
    <mergeCell ref="S36:S37"/>
    <mergeCell ref="T36:T37"/>
    <mergeCell ref="U36:U37"/>
    <mergeCell ref="X36:X37"/>
    <mergeCell ref="B38:B39"/>
    <mergeCell ref="C38:C39"/>
    <mergeCell ref="D38:D39"/>
    <mergeCell ref="E38:E39"/>
    <mergeCell ref="F38:F39"/>
    <mergeCell ref="M38:M39"/>
    <mergeCell ref="N38:N39"/>
    <mergeCell ref="O38:O39"/>
    <mergeCell ref="R38:R39"/>
    <mergeCell ref="B30:B31"/>
    <mergeCell ref="C30:C31"/>
    <mergeCell ref="D30:D31"/>
    <mergeCell ref="E30:E31"/>
    <mergeCell ref="F30:F31"/>
    <mergeCell ref="AG30:AG31"/>
    <mergeCell ref="AJ30:AJ31"/>
    <mergeCell ref="B32:B33"/>
    <mergeCell ref="C32:C33"/>
    <mergeCell ref="D32:D33"/>
    <mergeCell ref="E32:E33"/>
    <mergeCell ref="F32:F33"/>
    <mergeCell ref="AE32:AE33"/>
    <mergeCell ref="AF32:AF33"/>
    <mergeCell ref="AG32:AG33"/>
    <mergeCell ref="AJ32:AJ33"/>
    <mergeCell ref="B34:B35"/>
    <mergeCell ref="C34:C35"/>
    <mergeCell ref="D34:D35"/>
    <mergeCell ref="E34:E35"/>
    <mergeCell ref="F34:F35"/>
    <mergeCell ref="AK26:AK27"/>
    <mergeCell ref="AL26:AL27"/>
    <mergeCell ref="AM26:AM27"/>
    <mergeCell ref="B28:B29"/>
    <mergeCell ref="C28:C29"/>
    <mergeCell ref="D28:D29"/>
    <mergeCell ref="E28:E29"/>
    <mergeCell ref="F28:F29"/>
    <mergeCell ref="G28:G29"/>
    <mergeCell ref="H28:H29"/>
    <mergeCell ref="I28:I29"/>
    <mergeCell ref="L28:L29"/>
    <mergeCell ref="M28:M29"/>
    <mergeCell ref="N28:N29"/>
    <mergeCell ref="O28:O29"/>
    <mergeCell ref="R28:R29"/>
    <mergeCell ref="AG36:AG37"/>
    <mergeCell ref="AJ36:AJ37"/>
    <mergeCell ref="S19:S20"/>
    <mergeCell ref="T19:T20"/>
    <mergeCell ref="I17:I18"/>
    <mergeCell ref="AA11:AA12"/>
    <mergeCell ref="AG34:AG35"/>
    <mergeCell ref="AJ34:AJ35"/>
    <mergeCell ref="B24:B25"/>
    <mergeCell ref="C24:C25"/>
    <mergeCell ref="D24:D25"/>
    <mergeCell ref="E24:E25"/>
    <mergeCell ref="F24:F25"/>
    <mergeCell ref="AG24:AG25"/>
    <mergeCell ref="AJ24:AJ25"/>
    <mergeCell ref="B26:B27"/>
    <mergeCell ref="C26:C27"/>
    <mergeCell ref="D26:D27"/>
    <mergeCell ref="E26:E27"/>
    <mergeCell ref="F26:F27"/>
    <mergeCell ref="AP26:AP27"/>
    <mergeCell ref="L123:L124"/>
    <mergeCell ref="M123:M124"/>
    <mergeCell ref="N123:N124"/>
    <mergeCell ref="AG619:AG620"/>
    <mergeCell ref="AM619:AM620"/>
    <mergeCell ref="AJ9:AJ10"/>
    <mergeCell ref="B15:B16"/>
    <mergeCell ref="C15:C16"/>
    <mergeCell ref="D15:D16"/>
    <mergeCell ref="E15:E16"/>
    <mergeCell ref="F15:F16"/>
    <mergeCell ref="M15:M16"/>
    <mergeCell ref="N15:N16"/>
    <mergeCell ref="O15:O16"/>
    <mergeCell ref="R15:R16"/>
    <mergeCell ref="S15:S16"/>
    <mergeCell ref="T15:T16"/>
    <mergeCell ref="U15:U16"/>
    <mergeCell ref="X15:X16"/>
    <mergeCell ref="Y15:Y16"/>
    <mergeCell ref="Z15:Z16"/>
    <mergeCell ref="AA15:AA16"/>
    <mergeCell ref="AD15:AD16"/>
    <mergeCell ref="R11:R12"/>
    <mergeCell ref="B17:B18"/>
    <mergeCell ref="C17:C18"/>
    <mergeCell ref="D17:D18"/>
    <mergeCell ref="E17:E18"/>
    <mergeCell ref="F17:F18"/>
    <mergeCell ref="G17:G18"/>
    <mergeCell ref="H17:H18"/>
    <mergeCell ref="A591:H613"/>
    <mergeCell ref="I591:I592"/>
    <mergeCell ref="O591:O592"/>
    <mergeCell ref="X623:X624"/>
    <mergeCell ref="AA623:AA624"/>
    <mergeCell ref="AD623:AD624"/>
    <mergeCell ref="AG623:AG624"/>
    <mergeCell ref="AJ623:AJ624"/>
    <mergeCell ref="AM623:AM624"/>
    <mergeCell ref="L93:L94"/>
    <mergeCell ref="L95:L96"/>
    <mergeCell ref="L97:L98"/>
    <mergeCell ref="L99:L100"/>
    <mergeCell ref="AG144:AG145"/>
    <mergeCell ref="AJ144:AJ145"/>
    <mergeCell ref="A614:D614"/>
    <mergeCell ref="A615:H637"/>
    <mergeCell ref="I615:I616"/>
    <mergeCell ref="O615:O616"/>
    <mergeCell ref="U615:U616"/>
    <mergeCell ref="AA615:AA616"/>
    <mergeCell ref="AG615:AG616"/>
    <mergeCell ref="AM615:AM616"/>
    <mergeCell ref="I617:I618"/>
    <mergeCell ref="AJ93:AJ94"/>
    <mergeCell ref="AJ95:AJ96"/>
    <mergeCell ref="AJ97:AJ98"/>
    <mergeCell ref="AJ99:AJ100"/>
    <mergeCell ref="AM117:AM118"/>
    <mergeCell ref="K123:K124"/>
    <mergeCell ref="AM617:AM618"/>
    <mergeCell ref="O121:O122"/>
    <mergeCell ref="O619:O620"/>
    <mergeCell ref="U619:U620"/>
    <mergeCell ref="AA619:AA620"/>
    <mergeCell ref="I621:I622"/>
    <mergeCell ref="O621:O622"/>
    <mergeCell ref="U621:U622"/>
    <mergeCell ref="AA621:AA622"/>
    <mergeCell ref="AG621:AG622"/>
    <mergeCell ref="AM621:AM622"/>
    <mergeCell ref="B11:B14"/>
    <mergeCell ref="C11:C14"/>
    <mergeCell ref="D11:D14"/>
    <mergeCell ref="E11:E14"/>
    <mergeCell ref="F11:F14"/>
    <mergeCell ref="M11:M12"/>
    <mergeCell ref="N11:N12"/>
    <mergeCell ref="O11:O12"/>
    <mergeCell ref="L17:L18"/>
    <mergeCell ref="M17:M18"/>
    <mergeCell ref="N17:N18"/>
    <mergeCell ref="O17:O18"/>
    <mergeCell ref="R17:R18"/>
    <mergeCell ref="S17:S18"/>
    <mergeCell ref="T17:T18"/>
    <mergeCell ref="S11:S12"/>
    <mergeCell ref="T11:T12"/>
    <mergeCell ref="U11:U12"/>
    <mergeCell ref="X11:X12"/>
    <mergeCell ref="Y11:Y12"/>
    <mergeCell ref="Z11:Z12"/>
    <mergeCell ref="U572:U573"/>
    <mergeCell ref="A590:D590"/>
    <mergeCell ref="X572:X573"/>
    <mergeCell ref="AA572:AA573"/>
    <mergeCell ref="AD572:AD573"/>
    <mergeCell ref="AG572:AG573"/>
    <mergeCell ref="I623:I624"/>
    <mergeCell ref="L623:L624"/>
    <mergeCell ref="O623:O624"/>
    <mergeCell ref="R623:R624"/>
    <mergeCell ref="U623:U624"/>
    <mergeCell ref="AM595:AM596"/>
    <mergeCell ref="I597:I598"/>
    <mergeCell ref="O597:O598"/>
    <mergeCell ref="U597:U598"/>
    <mergeCell ref="AA597:AA598"/>
    <mergeCell ref="AG597:AG598"/>
    <mergeCell ref="AM597:AM598"/>
    <mergeCell ref="I599:I600"/>
    <mergeCell ref="L599:L600"/>
    <mergeCell ref="O599:O600"/>
    <mergeCell ref="R599:R600"/>
    <mergeCell ref="U599:U600"/>
    <mergeCell ref="X599:X600"/>
    <mergeCell ref="AA599:AA600"/>
    <mergeCell ref="AD599:AD600"/>
    <mergeCell ref="AG599:AG600"/>
    <mergeCell ref="AJ599:AJ600"/>
    <mergeCell ref="AM599:AM600"/>
    <mergeCell ref="O617:O618"/>
    <mergeCell ref="U617:U618"/>
    <mergeCell ref="AA617:AA618"/>
    <mergeCell ref="AG617:AG618"/>
    <mergeCell ref="I619:I620"/>
    <mergeCell ref="AG566:AG567"/>
    <mergeCell ref="AM566:AM567"/>
    <mergeCell ref="I568:I569"/>
    <mergeCell ref="O568:O569"/>
    <mergeCell ref="U568:U569"/>
    <mergeCell ref="U591:U592"/>
    <mergeCell ref="AA591:AA592"/>
    <mergeCell ref="AG591:AG592"/>
    <mergeCell ref="AM591:AM592"/>
    <mergeCell ref="I593:I594"/>
    <mergeCell ref="O593:O594"/>
    <mergeCell ref="U593:U594"/>
    <mergeCell ref="AA593:AA594"/>
    <mergeCell ref="AG593:AG594"/>
    <mergeCell ref="AM593:AM594"/>
    <mergeCell ref="I595:I596"/>
    <mergeCell ref="O595:O596"/>
    <mergeCell ref="U595:U596"/>
    <mergeCell ref="AA595:AA596"/>
    <mergeCell ref="AG595:AG596"/>
    <mergeCell ref="AG568:AG569"/>
    <mergeCell ref="AM568:AM569"/>
    <mergeCell ref="I570:I571"/>
    <mergeCell ref="O570:O571"/>
    <mergeCell ref="U570:U571"/>
    <mergeCell ref="AA570:AA571"/>
    <mergeCell ref="AG570:AG571"/>
    <mergeCell ref="AM570:AM571"/>
    <mergeCell ref="I572:I573"/>
    <mergeCell ref="L572:L573"/>
    <mergeCell ref="O572:O573"/>
    <mergeCell ref="R572:R573"/>
    <mergeCell ref="AA541:AA542"/>
    <mergeCell ref="AG541:AG542"/>
    <mergeCell ref="AM541:AM542"/>
    <mergeCell ref="I543:I544"/>
    <mergeCell ref="O543:O544"/>
    <mergeCell ref="U543:U544"/>
    <mergeCell ref="AA543:AA544"/>
    <mergeCell ref="AJ572:AJ573"/>
    <mergeCell ref="AM572:AM573"/>
    <mergeCell ref="AG543:AG544"/>
    <mergeCell ref="AM543:AM544"/>
    <mergeCell ref="I545:I546"/>
    <mergeCell ref="L545:L546"/>
    <mergeCell ref="O545:O546"/>
    <mergeCell ref="R545:R546"/>
    <mergeCell ref="U545:U546"/>
    <mergeCell ref="X545:X546"/>
    <mergeCell ref="AA545:AA546"/>
    <mergeCell ref="AD545:AD546"/>
    <mergeCell ref="AG545:AG546"/>
    <mergeCell ref="AJ545:AJ546"/>
    <mergeCell ref="AM545:AM546"/>
    <mergeCell ref="I564:I565"/>
    <mergeCell ref="O564:O565"/>
    <mergeCell ref="U564:U565"/>
    <mergeCell ref="AA564:AA565"/>
    <mergeCell ref="AG564:AG565"/>
    <mergeCell ref="AM564:AM565"/>
    <mergeCell ref="I566:I567"/>
    <mergeCell ref="O566:O567"/>
    <mergeCell ref="U566:U567"/>
    <mergeCell ref="AA566:AA567"/>
    <mergeCell ref="AA519:AA520"/>
    <mergeCell ref="AG519:AG520"/>
    <mergeCell ref="AM519:AM520"/>
    <mergeCell ref="I521:I522"/>
    <mergeCell ref="L521:L522"/>
    <mergeCell ref="O521:O522"/>
    <mergeCell ref="R521:R522"/>
    <mergeCell ref="AA482:AA483"/>
    <mergeCell ref="AA568:AA569"/>
    <mergeCell ref="U521:U522"/>
    <mergeCell ref="X521:X522"/>
    <mergeCell ref="AA521:AA522"/>
    <mergeCell ref="AD521:AD522"/>
    <mergeCell ref="AG521:AG522"/>
    <mergeCell ref="AJ521:AJ522"/>
    <mergeCell ref="AM521:AM522"/>
    <mergeCell ref="AD482:AD483"/>
    <mergeCell ref="AG482:AG483"/>
    <mergeCell ref="I537:I538"/>
    <mergeCell ref="O537:O538"/>
    <mergeCell ref="U537:U538"/>
    <mergeCell ref="AA537:AA538"/>
    <mergeCell ref="AG537:AG538"/>
    <mergeCell ref="AM537:AM538"/>
    <mergeCell ref="I539:I540"/>
    <mergeCell ref="O539:O540"/>
    <mergeCell ref="U539:U540"/>
    <mergeCell ref="AA539:AA540"/>
    <mergeCell ref="AG539:AG540"/>
    <mergeCell ref="AM539:AM540"/>
    <mergeCell ref="I541:I542"/>
    <mergeCell ref="O541:O542"/>
    <mergeCell ref="AA480:AA481"/>
    <mergeCell ref="AG480:AG481"/>
    <mergeCell ref="AM480:AM481"/>
    <mergeCell ref="I482:I483"/>
    <mergeCell ref="L482:L483"/>
    <mergeCell ref="O482:O483"/>
    <mergeCell ref="R482:R483"/>
    <mergeCell ref="U482:U483"/>
    <mergeCell ref="X482:X483"/>
    <mergeCell ref="AM482:AM483"/>
    <mergeCell ref="A512:D512"/>
    <mergeCell ref="A513:H535"/>
    <mergeCell ref="I513:I514"/>
    <mergeCell ref="O513:O514"/>
    <mergeCell ref="U513:U514"/>
    <mergeCell ref="AA513:AA514"/>
    <mergeCell ref="AG513:AG514"/>
    <mergeCell ref="AM513:AM514"/>
    <mergeCell ref="I515:I516"/>
    <mergeCell ref="O515:O516"/>
    <mergeCell ref="U515:U516"/>
    <mergeCell ref="AA515:AA516"/>
    <mergeCell ref="AG515:AG516"/>
    <mergeCell ref="AM515:AM516"/>
    <mergeCell ref="I517:I518"/>
    <mergeCell ref="O517:O518"/>
    <mergeCell ref="U517:U518"/>
    <mergeCell ref="AA517:AA518"/>
    <mergeCell ref="AG517:AG518"/>
    <mergeCell ref="AM517:AM518"/>
    <mergeCell ref="I519:I520"/>
    <mergeCell ref="O519:O520"/>
    <mergeCell ref="AA766:AA767"/>
    <mergeCell ref="AD766:AD767"/>
    <mergeCell ref="AG766:AG767"/>
    <mergeCell ref="AJ766:AJ767"/>
    <mergeCell ref="AM766:AM767"/>
    <mergeCell ref="AP766:AP767"/>
    <mergeCell ref="I766:I767"/>
    <mergeCell ref="L766:L767"/>
    <mergeCell ref="O766:O767"/>
    <mergeCell ref="R766:R767"/>
    <mergeCell ref="U766:U767"/>
    <mergeCell ref="X766:X767"/>
    <mergeCell ref="A473:D473"/>
    <mergeCell ref="A474:H496"/>
    <mergeCell ref="I474:I475"/>
    <mergeCell ref="O474:O475"/>
    <mergeCell ref="U474:U475"/>
    <mergeCell ref="AA474:AA475"/>
    <mergeCell ref="AG474:AG475"/>
    <mergeCell ref="AM474:AM475"/>
    <mergeCell ref="I476:I477"/>
    <mergeCell ref="O476:O477"/>
    <mergeCell ref="U476:U477"/>
    <mergeCell ref="AA476:AA477"/>
    <mergeCell ref="AG476:AG477"/>
    <mergeCell ref="AM476:AM477"/>
    <mergeCell ref="I478:I479"/>
    <mergeCell ref="O478:O479"/>
    <mergeCell ref="U478:U479"/>
    <mergeCell ref="AA478:AA479"/>
    <mergeCell ref="AG478:AG479"/>
    <mergeCell ref="AM478:AM479"/>
    <mergeCell ref="AD764:AD765"/>
    <mergeCell ref="AG764:AG765"/>
    <mergeCell ref="AJ764:AJ765"/>
    <mergeCell ref="AM764:AM765"/>
    <mergeCell ref="AP764:AP765"/>
    <mergeCell ref="I764:I765"/>
    <mergeCell ref="L764:L765"/>
    <mergeCell ref="O764:O765"/>
    <mergeCell ref="R764:R765"/>
    <mergeCell ref="U764:U765"/>
    <mergeCell ref="X764:X765"/>
    <mergeCell ref="AA762:AA763"/>
    <mergeCell ref="AD762:AD763"/>
    <mergeCell ref="AG762:AG763"/>
    <mergeCell ref="AJ762:AJ763"/>
    <mergeCell ref="AM762:AM763"/>
    <mergeCell ref="AP762:AP763"/>
    <mergeCell ref="AA764:AA765"/>
    <mergeCell ref="AG760:AG761"/>
    <mergeCell ref="AJ760:AJ761"/>
    <mergeCell ref="AM760:AM761"/>
    <mergeCell ref="AP760:AP761"/>
    <mergeCell ref="I762:I763"/>
    <mergeCell ref="L762:L763"/>
    <mergeCell ref="O762:O763"/>
    <mergeCell ref="R762:R763"/>
    <mergeCell ref="U762:U763"/>
    <mergeCell ref="X762:X763"/>
    <mergeCell ref="AE649:AE650"/>
    <mergeCell ref="AJ482:AJ483"/>
    <mergeCell ref="AF649:AF650"/>
    <mergeCell ref="AP758:AP759"/>
    <mergeCell ref="A760:H770"/>
    <mergeCell ref="I760:I761"/>
    <mergeCell ref="L760:L761"/>
    <mergeCell ref="O760:O761"/>
    <mergeCell ref="R760:R761"/>
    <mergeCell ref="U760:U761"/>
    <mergeCell ref="X760:X761"/>
    <mergeCell ref="AA760:AA761"/>
    <mergeCell ref="AD760:AD761"/>
    <mergeCell ref="AF758:AF759"/>
    <mergeCell ref="AG758:AG759"/>
    <mergeCell ref="AM758:AM759"/>
    <mergeCell ref="X758:X759"/>
    <mergeCell ref="Y758:Y759"/>
    <mergeCell ref="Z758:Z759"/>
    <mergeCell ref="AA758:AA759"/>
    <mergeCell ref="AD758:AD759"/>
    <mergeCell ref="AE758:AE759"/>
    <mergeCell ref="AA768:AA769"/>
    <mergeCell ref="AD768:AD769"/>
    <mergeCell ref="AG768:AG769"/>
    <mergeCell ref="AJ768:AJ769"/>
    <mergeCell ref="AM768:AM769"/>
    <mergeCell ref="AP768:AP769"/>
    <mergeCell ref="I768:I769"/>
    <mergeCell ref="L768:L769"/>
    <mergeCell ref="O768:O769"/>
    <mergeCell ref="R768:R769"/>
    <mergeCell ref="U768:U769"/>
    <mergeCell ref="X768:X769"/>
    <mergeCell ref="AD647:AD648"/>
    <mergeCell ref="A645:A646"/>
    <mergeCell ref="B645:B646"/>
    <mergeCell ref="C645:C646"/>
    <mergeCell ref="D645:D646"/>
    <mergeCell ref="E645:E646"/>
    <mergeCell ref="F645:F646"/>
    <mergeCell ref="AA651:AA652"/>
    <mergeCell ref="AD651:AD652"/>
    <mergeCell ref="A758:D759"/>
    <mergeCell ref="E758:E759"/>
    <mergeCell ref="F758:F759"/>
    <mergeCell ref="G758:G759"/>
    <mergeCell ref="H758:H759"/>
    <mergeCell ref="I758:I759"/>
    <mergeCell ref="L758:L759"/>
    <mergeCell ref="M758:M759"/>
    <mergeCell ref="N758:N759"/>
    <mergeCell ref="O758:O759"/>
    <mergeCell ref="R758:R759"/>
    <mergeCell ref="S758:S759"/>
    <mergeCell ref="T758:T759"/>
    <mergeCell ref="A651:A652"/>
    <mergeCell ref="B651:B652"/>
    <mergeCell ref="C651:C652"/>
    <mergeCell ref="D651:D652"/>
    <mergeCell ref="E651:E652"/>
    <mergeCell ref="F651:F652"/>
    <mergeCell ref="Y651:Y652"/>
    <mergeCell ref="Z651:Z652"/>
    <mergeCell ref="A90:A91"/>
    <mergeCell ref="B90:B91"/>
    <mergeCell ref="C90:C91"/>
    <mergeCell ref="D90:D91"/>
    <mergeCell ref="E90:E91"/>
    <mergeCell ref="F90:F91"/>
    <mergeCell ref="U758:U759"/>
    <mergeCell ref="B134:B137"/>
    <mergeCell ref="C134:C137"/>
    <mergeCell ref="D121:D122"/>
    <mergeCell ref="E121:E122"/>
    <mergeCell ref="F121:F122"/>
    <mergeCell ref="M121:M122"/>
    <mergeCell ref="I480:I481"/>
    <mergeCell ref="O480:O481"/>
    <mergeCell ref="U480:U481"/>
    <mergeCell ref="U519:U520"/>
    <mergeCell ref="A536:D536"/>
    <mergeCell ref="A537:H559"/>
    <mergeCell ref="U541:U542"/>
    <mergeCell ref="A563:D563"/>
    <mergeCell ref="A564:H586"/>
    <mergeCell ref="AK647:AK648"/>
    <mergeCell ref="AL647:AL648"/>
    <mergeCell ref="A649:A650"/>
    <mergeCell ref="B649:B650"/>
    <mergeCell ref="C649:C650"/>
    <mergeCell ref="D649:D650"/>
    <mergeCell ref="E649:E650"/>
    <mergeCell ref="F649:F650"/>
    <mergeCell ref="AA649:AA650"/>
    <mergeCell ref="AD649:AD650"/>
    <mergeCell ref="AE645:AE646"/>
    <mergeCell ref="AF645:AF646"/>
    <mergeCell ref="A647:A648"/>
    <mergeCell ref="B647:B648"/>
    <mergeCell ref="C647:C648"/>
    <mergeCell ref="D647:D648"/>
    <mergeCell ref="E647:E648"/>
    <mergeCell ref="F647:F648"/>
    <mergeCell ref="AA647:AA648"/>
    <mergeCell ref="AJ758:AJ759"/>
    <mergeCell ref="AK758:AK759"/>
    <mergeCell ref="AL758:AL759"/>
    <mergeCell ref="I101:I102"/>
    <mergeCell ref="L101:L102"/>
    <mergeCell ref="O101:O102"/>
    <mergeCell ref="M166:M167"/>
    <mergeCell ref="A166:A167"/>
    <mergeCell ref="B166:B167"/>
    <mergeCell ref="C166:C167"/>
    <mergeCell ref="D166:D167"/>
    <mergeCell ref="E166:E167"/>
    <mergeCell ref="A117:A120"/>
    <mergeCell ref="B117:B120"/>
    <mergeCell ref="C117:C120"/>
    <mergeCell ref="D117:D120"/>
    <mergeCell ref="E117:E120"/>
    <mergeCell ref="F117:F120"/>
    <mergeCell ref="G117:G118"/>
    <mergeCell ref="H117:H118"/>
    <mergeCell ref="M117:M118"/>
    <mergeCell ref="N117:N118"/>
    <mergeCell ref="O117:O118"/>
    <mergeCell ref="A123:A126"/>
    <mergeCell ref="A155:A156"/>
    <mergeCell ref="B155:B156"/>
    <mergeCell ref="C155:C156"/>
    <mergeCell ref="O123:O124"/>
    <mergeCell ref="A121:A122"/>
    <mergeCell ref="B121:B122"/>
    <mergeCell ref="C121:C122"/>
    <mergeCell ref="A134:A137"/>
    <mergeCell ref="AL155:AL156"/>
    <mergeCell ref="AM155:AM156"/>
    <mergeCell ref="AP155:AP156"/>
    <mergeCell ref="L451:L452"/>
    <mergeCell ref="I449:I450"/>
    <mergeCell ref="I451:I452"/>
    <mergeCell ref="I447:I448"/>
    <mergeCell ref="L447:L448"/>
    <mergeCell ref="A157:A160"/>
    <mergeCell ref="B157:B160"/>
    <mergeCell ref="C157:C160"/>
    <mergeCell ref="D157:D160"/>
    <mergeCell ref="E157:E160"/>
    <mergeCell ref="F157:F160"/>
    <mergeCell ref="O425:O426"/>
    <mergeCell ref="R425:R426"/>
    <mergeCell ref="O427:O428"/>
    <mergeCell ref="R427:R428"/>
    <mergeCell ref="X423:X424"/>
    <mergeCell ref="AA423:AA424"/>
    <mergeCell ref="AD423:AD424"/>
    <mergeCell ref="O423:O424"/>
    <mergeCell ref="R423:R424"/>
    <mergeCell ref="U423:U424"/>
    <mergeCell ref="AA168:AA169"/>
    <mergeCell ref="AD168:AD169"/>
    <mergeCell ref="S168:S169"/>
    <mergeCell ref="T168:T169"/>
    <mergeCell ref="S166:S167"/>
    <mergeCell ref="T166:T167"/>
    <mergeCell ref="X166:X167"/>
    <mergeCell ref="F166:F167"/>
    <mergeCell ref="AN3:AO3"/>
    <mergeCell ref="AG90:AG91"/>
    <mergeCell ref="AJ90:AJ91"/>
    <mergeCell ref="AM90:AM91"/>
    <mergeCell ref="E134:E137"/>
    <mergeCell ref="F134:F137"/>
    <mergeCell ref="A423:H445"/>
    <mergeCell ref="I423:I424"/>
    <mergeCell ref="L423:L424"/>
    <mergeCell ref="I427:I428"/>
    <mergeCell ref="L427:L428"/>
    <mergeCell ref="I429:I430"/>
    <mergeCell ref="L429:L430"/>
    <mergeCell ref="I129:I130"/>
    <mergeCell ref="G132:G133"/>
    <mergeCell ref="H132:H133"/>
    <mergeCell ref="I132:I133"/>
    <mergeCell ref="L132:L133"/>
    <mergeCell ref="I431:I432"/>
    <mergeCell ref="L431:L432"/>
    <mergeCell ref="I425:I426"/>
    <mergeCell ref="L425:L426"/>
    <mergeCell ref="D155:D156"/>
    <mergeCell ref="E155:E156"/>
    <mergeCell ref="F155:F156"/>
    <mergeCell ref="A127:A133"/>
    <mergeCell ref="B127:B133"/>
    <mergeCell ref="C127:C133"/>
    <mergeCell ref="D127:D133"/>
    <mergeCell ref="E127:E133"/>
    <mergeCell ref="F127:F133"/>
    <mergeCell ref="AK155:AK156"/>
    <mergeCell ref="AK3:AL3"/>
    <mergeCell ref="AM3:AM4"/>
    <mergeCell ref="R117:R118"/>
    <mergeCell ref="R123:R124"/>
    <mergeCell ref="B7:B8"/>
    <mergeCell ref="C7:C8"/>
    <mergeCell ref="D7:D8"/>
    <mergeCell ref="E7:E8"/>
    <mergeCell ref="F7:F8"/>
    <mergeCell ref="AG7:AG8"/>
    <mergeCell ref="AJ7:AJ8"/>
    <mergeCell ref="B9:B10"/>
    <mergeCell ref="C9:C10"/>
    <mergeCell ref="D9:D10"/>
    <mergeCell ref="E9:E10"/>
    <mergeCell ref="F9:F10"/>
    <mergeCell ref="AG9:AG10"/>
    <mergeCell ref="AJ19:AJ20"/>
    <mergeCell ref="B21:B22"/>
    <mergeCell ref="C21:C22"/>
    <mergeCell ref="D21:D22"/>
    <mergeCell ref="E21:E22"/>
    <mergeCell ref="F21:F22"/>
    <mergeCell ref="G21:G22"/>
    <mergeCell ref="H21:H22"/>
    <mergeCell ref="I21:I22"/>
    <mergeCell ref="L21:L22"/>
    <mergeCell ref="AG19:AG20"/>
    <mergeCell ref="AD11:AD12"/>
    <mergeCell ref="S13:S14"/>
    <mergeCell ref="T13:T14"/>
    <mergeCell ref="U13:U14"/>
    <mergeCell ref="G3:H3"/>
    <mergeCell ref="I3:I4"/>
    <mergeCell ref="J3:K3"/>
    <mergeCell ref="M3:N3"/>
    <mergeCell ref="O3:O4"/>
    <mergeCell ref="P3:Q3"/>
    <mergeCell ref="AE3:AF3"/>
    <mergeCell ref="AG3:AG4"/>
    <mergeCell ref="AH3:AI3"/>
    <mergeCell ref="B123:B126"/>
    <mergeCell ref="C123:C126"/>
    <mergeCell ref="D123:D126"/>
    <mergeCell ref="E123:E126"/>
    <mergeCell ref="F123:F126"/>
    <mergeCell ref="G123:G124"/>
    <mergeCell ref="H123:H124"/>
    <mergeCell ref="I123:I124"/>
    <mergeCell ref="J123:J124"/>
    <mergeCell ref="AD95:AD96"/>
    <mergeCell ref="AD97:AD98"/>
    <mergeCell ref="AD99:AD100"/>
    <mergeCell ref="AD93:AD94"/>
    <mergeCell ref="X13:X14"/>
    <mergeCell ref="U17:U18"/>
    <mergeCell ref="X17:X18"/>
    <mergeCell ref="B19:B20"/>
    <mergeCell ref="C19:C20"/>
    <mergeCell ref="D19:D20"/>
    <mergeCell ref="E19:E20"/>
    <mergeCell ref="F19:F20"/>
    <mergeCell ref="M19:M20"/>
    <mergeCell ref="N19:N20"/>
    <mergeCell ref="A511:C511"/>
    <mergeCell ref="B501:B502"/>
    <mergeCell ref="C501:C502"/>
    <mergeCell ref="B504:B505"/>
    <mergeCell ref="C504:C505"/>
    <mergeCell ref="B507:B509"/>
    <mergeCell ref="C507:C509"/>
    <mergeCell ref="A2:A4"/>
    <mergeCell ref="B2:B4"/>
    <mergeCell ref="C2:C4"/>
    <mergeCell ref="D2:D4"/>
    <mergeCell ref="E2:F3"/>
    <mergeCell ref="AP90:AP91"/>
    <mergeCell ref="J90:J91"/>
    <mergeCell ref="O90:O91"/>
    <mergeCell ref="R90:R91"/>
    <mergeCell ref="U90:U91"/>
    <mergeCell ref="AA90:AA91"/>
    <mergeCell ref="AD90:AD91"/>
    <mergeCell ref="I90:I91"/>
    <mergeCell ref="G2:L2"/>
    <mergeCell ref="M2:R2"/>
    <mergeCell ref="S2:X2"/>
    <mergeCell ref="Y2:AD2"/>
    <mergeCell ref="AB3:AC3"/>
    <mergeCell ref="S3:T3"/>
    <mergeCell ref="U3:U4"/>
    <mergeCell ref="V3:W3"/>
    <mergeCell ref="Y3:Z3"/>
    <mergeCell ref="AA3:AA4"/>
    <mergeCell ref="AE2:AJ2"/>
    <mergeCell ref="AK2:AP2"/>
    <mergeCell ref="AL497:AL498"/>
    <mergeCell ref="AM497:AM498"/>
    <mergeCell ref="AP497:AP498"/>
    <mergeCell ref="Y497:Y498"/>
    <mergeCell ref="Z497:Z498"/>
    <mergeCell ref="AA497:AA498"/>
    <mergeCell ref="AD497:AD498"/>
    <mergeCell ref="S497:S498"/>
    <mergeCell ref="T497:T498"/>
    <mergeCell ref="U497:U498"/>
    <mergeCell ref="X497:X498"/>
    <mergeCell ref="I497:I498"/>
    <mergeCell ref="L497:L498"/>
    <mergeCell ref="A497:A498"/>
    <mergeCell ref="B497:B498"/>
    <mergeCell ref="C497:C498"/>
    <mergeCell ref="D497:D498"/>
    <mergeCell ref="E497:E498"/>
    <mergeCell ref="F497:F498"/>
    <mergeCell ref="M497:M498"/>
    <mergeCell ref="N497:N498"/>
    <mergeCell ref="O497:O498"/>
    <mergeCell ref="R497:R498"/>
    <mergeCell ref="AE497:AE498"/>
    <mergeCell ref="AF497:AF498"/>
    <mergeCell ref="AG497:AG498"/>
    <mergeCell ref="AJ497:AJ498"/>
    <mergeCell ref="AK497:AK498"/>
  </mergeCells>
  <printOptions horizontalCentered="1"/>
  <pageMargins left="0.70866141732283472" right="0.19685039370078741" top="0.74803149606299213" bottom="0.74803149606299213" header="0.31496062992125984" footer="0.31496062992125984"/>
  <pageSetup paperSize="9" scale="37" fitToWidth="4" fitToHeight="44" orientation="portrait" r:id="rId1"/>
  <rowBreaks count="12" manualBreakCount="12">
    <brk id="63" max="42" man="1"/>
    <brk id="115" max="42" man="1"/>
    <brk id="181" max="42" man="1"/>
    <brk id="245" max="42" man="1"/>
    <brk id="313" max="42" man="1"/>
    <brk id="355" max="42" man="1"/>
    <brk id="415" max="42" man="1"/>
    <brk id="469" max="42" man="1"/>
    <brk id="535" max="42" man="1"/>
    <brk id="586" max="42" man="1"/>
    <brk id="637" max="42" man="1"/>
    <brk id="751" max="42" man="1"/>
  </rowBreaks>
  <colBreaks count="3" manualBreakCount="3">
    <brk id="12" max="757" man="1"/>
    <brk id="24" max="757" man="1"/>
    <brk id="36" max="757" man="1"/>
  </colBreaks>
</worksheet>
</file>

<file path=xl/worksheets/sheet2.xml><?xml version="1.0" encoding="utf-8"?>
<worksheet xmlns="http://schemas.openxmlformats.org/spreadsheetml/2006/main" xmlns:r="http://schemas.openxmlformats.org/officeDocument/2006/relationships">
  <dimension ref="A1:AR677"/>
  <sheetViews>
    <sheetView view="pageBreakPreview" topLeftCell="E598" zoomScale="70" zoomScaleNormal="55" zoomScaleSheetLayoutView="70" workbookViewId="0">
      <selection activeCell="AQ605" activeCellId="5" sqref="M605 S605 Y605 AE605 AK605 AQ605"/>
    </sheetView>
  </sheetViews>
  <sheetFormatPr defaultRowHeight="15"/>
  <cols>
    <col min="1" max="1" width="7.42578125" customWidth="1"/>
    <col min="2" max="2" width="12.42578125" customWidth="1"/>
    <col min="3" max="3" width="44.28515625" customWidth="1"/>
    <col min="4" max="4" width="16.28515625" customWidth="1"/>
    <col min="5" max="5" width="19.42578125" customWidth="1"/>
    <col min="6" max="6" width="16.28515625" customWidth="1"/>
    <col min="7" max="8" width="20.140625" customWidth="1"/>
    <col min="9" max="9" width="18" customWidth="1"/>
    <col min="10" max="10" width="24.140625" customWidth="1"/>
    <col min="11" max="12" width="16.28515625" customWidth="1"/>
    <col min="13" max="13" width="18.7109375" customWidth="1"/>
    <col min="14" max="15" width="16.28515625" customWidth="1"/>
    <col min="16" max="16" width="24.28515625" customWidth="1"/>
    <col min="17" max="17" width="20.85546875" customWidth="1"/>
    <col min="18" max="18" width="16.28515625" customWidth="1"/>
    <col min="19" max="19" width="20.42578125" style="335" customWidth="1"/>
    <col min="20" max="21" width="16.28515625" customWidth="1"/>
    <col min="22" max="22" width="22.85546875" customWidth="1"/>
    <col min="23" max="24" width="16.28515625" customWidth="1"/>
    <col min="25" max="25" width="21" customWidth="1"/>
    <col min="26" max="27" width="16.28515625" customWidth="1"/>
    <col min="28" max="28" width="22" customWidth="1"/>
    <col min="29" max="30" width="16.28515625" customWidth="1"/>
    <col min="31" max="31" width="19.85546875" customWidth="1"/>
    <col min="32" max="33" width="16.28515625" customWidth="1"/>
    <col min="34" max="34" width="22.85546875" customWidth="1"/>
    <col min="35" max="36" width="16.28515625" customWidth="1"/>
    <col min="37" max="37" width="20.140625" customWidth="1"/>
    <col min="38" max="39" width="16.28515625" customWidth="1"/>
    <col min="40" max="40" width="22.7109375" customWidth="1"/>
    <col min="41" max="42" width="16.28515625" customWidth="1"/>
    <col min="43" max="43" width="19.7109375" customWidth="1"/>
    <col min="44" max="44" width="17.28515625" customWidth="1"/>
    <col min="45" max="50" width="16.28515625" customWidth="1"/>
  </cols>
  <sheetData>
    <row r="1" spans="1:44" ht="66.75" customHeight="1">
      <c r="A1" s="1085" t="s">
        <v>0</v>
      </c>
      <c r="B1" s="1086"/>
      <c r="C1" s="1086"/>
      <c r="D1" s="1086"/>
      <c r="E1" s="1086"/>
      <c r="F1" s="1086"/>
      <c r="G1" s="1086"/>
      <c r="H1" s="1086"/>
      <c r="I1" s="1086"/>
      <c r="J1" s="1086"/>
      <c r="K1" s="1086"/>
      <c r="L1" s="1086"/>
      <c r="M1" s="1086"/>
      <c r="N1" s="1086"/>
      <c r="O1" s="1086"/>
      <c r="P1" s="1086"/>
      <c r="Q1" s="1086"/>
      <c r="R1" s="1086"/>
      <c r="S1" s="1086"/>
      <c r="T1" s="1086"/>
      <c r="U1" s="1086"/>
      <c r="V1" s="1086"/>
      <c r="W1" s="1086"/>
      <c r="X1" s="1086"/>
      <c r="Y1" s="1086"/>
      <c r="Z1" s="1086"/>
      <c r="AA1" s="1086"/>
      <c r="AB1" s="1086"/>
      <c r="AC1" s="1086"/>
      <c r="AD1" s="1086"/>
      <c r="AE1" s="1086"/>
      <c r="AF1" s="1086"/>
      <c r="AG1" s="1086"/>
      <c r="AH1" s="1086"/>
      <c r="AI1" s="1086"/>
      <c r="AJ1" s="1086"/>
      <c r="AK1" s="1086"/>
      <c r="AL1" s="1086"/>
      <c r="AM1" s="1086"/>
      <c r="AN1" s="1086"/>
      <c r="AO1" s="1086"/>
      <c r="AP1" s="1086"/>
      <c r="AQ1" s="1086"/>
      <c r="AR1" s="1086"/>
    </row>
    <row r="2" spans="1:44" ht="15.75">
      <c r="A2" s="1009" t="s">
        <v>1</v>
      </c>
      <c r="B2" s="1010" t="s">
        <v>2</v>
      </c>
      <c r="C2" s="1011" t="s">
        <v>3</v>
      </c>
      <c r="D2" s="1012" t="s">
        <v>4</v>
      </c>
      <c r="E2" s="1012"/>
      <c r="F2" s="1012"/>
      <c r="G2" s="1012"/>
      <c r="H2" s="1013" t="s">
        <v>5</v>
      </c>
      <c r="I2" s="1013"/>
      <c r="J2" s="1013"/>
      <c r="K2" s="1013"/>
      <c r="L2" s="1013"/>
      <c r="M2" s="1013"/>
      <c r="N2" s="1013" t="s">
        <v>6</v>
      </c>
      <c r="O2" s="1013"/>
      <c r="P2" s="1013"/>
      <c r="Q2" s="1013"/>
      <c r="R2" s="1013"/>
      <c r="S2" s="1013"/>
      <c r="T2" s="1013" t="s">
        <v>7</v>
      </c>
      <c r="U2" s="1013"/>
      <c r="V2" s="1013"/>
      <c r="W2" s="1013"/>
      <c r="X2" s="1013"/>
      <c r="Y2" s="1013"/>
      <c r="Z2" s="1013" t="s">
        <v>8</v>
      </c>
      <c r="AA2" s="1013"/>
      <c r="AB2" s="1013"/>
      <c r="AC2" s="1013"/>
      <c r="AD2" s="1013"/>
      <c r="AE2" s="1013"/>
      <c r="AF2" s="1013" t="s">
        <v>9</v>
      </c>
      <c r="AG2" s="1013"/>
      <c r="AH2" s="1013"/>
      <c r="AI2" s="1013"/>
      <c r="AJ2" s="1013"/>
      <c r="AK2" s="1013"/>
      <c r="AL2" s="1013" t="s">
        <v>10</v>
      </c>
      <c r="AM2" s="1013"/>
      <c r="AN2" s="1013"/>
      <c r="AO2" s="1013"/>
      <c r="AP2" s="1013"/>
      <c r="AQ2" s="1013"/>
      <c r="AR2" s="1087" t="s">
        <v>3501</v>
      </c>
    </row>
    <row r="3" spans="1:44">
      <c r="A3" s="1009"/>
      <c r="B3" s="1010"/>
      <c r="C3" s="1011"/>
      <c r="D3" s="1012"/>
      <c r="E3" s="1012"/>
      <c r="F3" s="1012"/>
      <c r="G3" s="1012"/>
      <c r="H3" s="1014" t="s">
        <v>11</v>
      </c>
      <c r="I3" s="1014"/>
      <c r="J3" s="1014" t="s">
        <v>12</v>
      </c>
      <c r="K3" s="1014" t="s">
        <v>13</v>
      </c>
      <c r="L3" s="1014"/>
      <c r="M3" s="1021"/>
      <c r="N3" s="1014" t="s">
        <v>11</v>
      </c>
      <c r="O3" s="1014"/>
      <c r="P3" s="1014" t="s">
        <v>12</v>
      </c>
      <c r="Q3" s="1014" t="s">
        <v>13</v>
      </c>
      <c r="R3" s="1014"/>
      <c r="S3" s="1021"/>
      <c r="T3" s="1014" t="s">
        <v>11</v>
      </c>
      <c r="U3" s="1014"/>
      <c r="V3" s="1014" t="s">
        <v>12</v>
      </c>
      <c r="W3" s="1014" t="s">
        <v>13</v>
      </c>
      <c r="X3" s="1014"/>
      <c r="Y3" s="1021" t="s">
        <v>14</v>
      </c>
      <c r="Z3" s="1014" t="s">
        <v>11</v>
      </c>
      <c r="AA3" s="1014"/>
      <c r="AB3" s="1014" t="s">
        <v>12</v>
      </c>
      <c r="AC3" s="1014" t="s">
        <v>13</v>
      </c>
      <c r="AD3" s="1014"/>
      <c r="AE3" s="1021" t="s">
        <v>14</v>
      </c>
      <c r="AF3" s="1014" t="s">
        <v>11</v>
      </c>
      <c r="AG3" s="1014"/>
      <c r="AH3" s="1014" t="s">
        <v>12</v>
      </c>
      <c r="AI3" s="1014" t="s">
        <v>13</v>
      </c>
      <c r="AJ3" s="1014"/>
      <c r="AK3" s="1015" t="s">
        <v>14</v>
      </c>
      <c r="AL3" s="1014" t="s">
        <v>11</v>
      </c>
      <c r="AM3" s="1014"/>
      <c r="AN3" s="1014" t="s">
        <v>12</v>
      </c>
      <c r="AO3" s="1014" t="s">
        <v>13</v>
      </c>
      <c r="AP3" s="1014"/>
      <c r="AQ3" s="1015" t="s">
        <v>14</v>
      </c>
      <c r="AR3" s="1088"/>
    </row>
    <row r="4" spans="1:44">
      <c r="A4" s="1009"/>
      <c r="B4" s="1010"/>
      <c r="C4" s="1011"/>
      <c r="D4" s="1016" t="s">
        <v>15</v>
      </c>
      <c r="E4" s="1016"/>
      <c r="F4" s="1012" t="s">
        <v>16</v>
      </c>
      <c r="G4" s="1012"/>
      <c r="H4" s="1014"/>
      <c r="I4" s="1014"/>
      <c r="J4" s="1014"/>
      <c r="K4" s="1014"/>
      <c r="L4" s="1014"/>
      <c r="M4" s="1021"/>
      <c r="N4" s="1014"/>
      <c r="O4" s="1014"/>
      <c r="P4" s="1014"/>
      <c r="Q4" s="1014"/>
      <c r="R4" s="1014"/>
      <c r="S4" s="1021"/>
      <c r="T4" s="1014"/>
      <c r="U4" s="1014"/>
      <c r="V4" s="1014"/>
      <c r="W4" s="1014"/>
      <c r="X4" s="1014"/>
      <c r="Y4" s="1021"/>
      <c r="Z4" s="1014"/>
      <c r="AA4" s="1014"/>
      <c r="AB4" s="1014"/>
      <c r="AC4" s="1014"/>
      <c r="AD4" s="1014"/>
      <c r="AE4" s="1021"/>
      <c r="AF4" s="1014"/>
      <c r="AG4" s="1014"/>
      <c r="AH4" s="1014"/>
      <c r="AI4" s="1014"/>
      <c r="AJ4" s="1014"/>
      <c r="AK4" s="1015"/>
      <c r="AL4" s="1014"/>
      <c r="AM4" s="1014"/>
      <c r="AN4" s="1014"/>
      <c r="AO4" s="1014"/>
      <c r="AP4" s="1014"/>
      <c r="AQ4" s="1015"/>
      <c r="AR4" s="1088"/>
    </row>
    <row r="5" spans="1:44" ht="30">
      <c r="A5" s="1009"/>
      <c r="B5" s="1010"/>
      <c r="C5" s="1011"/>
      <c r="D5" s="564" t="s">
        <v>17</v>
      </c>
      <c r="E5" s="2" t="s">
        <v>18</v>
      </c>
      <c r="F5" s="3" t="s">
        <v>17</v>
      </c>
      <c r="G5" s="6" t="s">
        <v>18</v>
      </c>
      <c r="H5" s="562" t="s">
        <v>19</v>
      </c>
      <c r="I5" s="562" t="s">
        <v>20</v>
      </c>
      <c r="J5" s="1014"/>
      <c r="K5" s="5" t="s">
        <v>21</v>
      </c>
      <c r="L5" s="6" t="s">
        <v>22</v>
      </c>
      <c r="M5" s="6" t="s">
        <v>23</v>
      </c>
      <c r="N5" s="645" t="s">
        <v>19</v>
      </c>
      <c r="O5" s="562" t="s">
        <v>20</v>
      </c>
      <c r="P5" s="1014"/>
      <c r="Q5" s="563" t="s">
        <v>21</v>
      </c>
      <c r="R5" s="562" t="s">
        <v>22</v>
      </c>
      <c r="S5" s="6" t="s">
        <v>23</v>
      </c>
      <c r="T5" s="562" t="s">
        <v>19</v>
      </c>
      <c r="U5" s="562" t="s">
        <v>20</v>
      </c>
      <c r="V5" s="1014"/>
      <c r="W5" s="563" t="s">
        <v>21</v>
      </c>
      <c r="X5" s="562" t="s">
        <v>22</v>
      </c>
      <c r="Y5" s="6" t="s">
        <v>23</v>
      </c>
      <c r="Z5" s="562" t="s">
        <v>19</v>
      </c>
      <c r="AA5" s="562" t="s">
        <v>20</v>
      </c>
      <c r="AB5" s="1014"/>
      <c r="AC5" s="563" t="s">
        <v>21</v>
      </c>
      <c r="AD5" s="562" t="s">
        <v>22</v>
      </c>
      <c r="AE5" s="6" t="s">
        <v>23</v>
      </c>
      <c r="AF5" s="562" t="s">
        <v>19</v>
      </c>
      <c r="AG5" s="562" t="s">
        <v>20</v>
      </c>
      <c r="AH5" s="1014"/>
      <c r="AI5" s="563" t="s">
        <v>21</v>
      </c>
      <c r="AJ5" s="562" t="s">
        <v>22</v>
      </c>
      <c r="AK5" s="645" t="s">
        <v>23</v>
      </c>
      <c r="AL5" s="562" t="s">
        <v>19</v>
      </c>
      <c r="AM5" s="562" t="s">
        <v>20</v>
      </c>
      <c r="AN5" s="1014"/>
      <c r="AO5" s="563" t="s">
        <v>21</v>
      </c>
      <c r="AP5" s="562" t="s">
        <v>22</v>
      </c>
      <c r="AQ5" s="645" t="s">
        <v>23</v>
      </c>
      <c r="AR5" s="1089"/>
    </row>
    <row r="6" spans="1:44" ht="18" customHeight="1">
      <c r="A6" s="167">
        <v>1</v>
      </c>
      <c r="B6" s="167">
        <v>2</v>
      </c>
      <c r="C6" s="167">
        <v>3</v>
      </c>
      <c r="D6" s="167">
        <v>4</v>
      </c>
      <c r="E6" s="167">
        <v>5</v>
      </c>
      <c r="F6" s="167">
        <v>6</v>
      </c>
      <c r="G6" s="167">
        <v>7</v>
      </c>
      <c r="H6" s="167">
        <v>8</v>
      </c>
      <c r="I6" s="167">
        <v>9</v>
      </c>
      <c r="J6" s="167">
        <v>10</v>
      </c>
      <c r="K6" s="167">
        <v>11</v>
      </c>
      <c r="L6" s="167">
        <v>12</v>
      </c>
      <c r="M6" s="167">
        <v>13</v>
      </c>
      <c r="N6" s="167">
        <v>14</v>
      </c>
      <c r="O6" s="167">
        <v>15</v>
      </c>
      <c r="P6" s="167">
        <v>16</v>
      </c>
      <c r="Q6" s="167">
        <v>17</v>
      </c>
      <c r="R6" s="167">
        <v>18</v>
      </c>
      <c r="S6" s="167">
        <v>19</v>
      </c>
      <c r="T6" s="167">
        <v>20</v>
      </c>
      <c r="U6" s="167">
        <v>21</v>
      </c>
      <c r="V6" s="167">
        <v>22</v>
      </c>
      <c r="W6" s="167">
        <v>23</v>
      </c>
      <c r="X6" s="167">
        <v>24</v>
      </c>
      <c r="Y6" s="167">
        <v>25</v>
      </c>
      <c r="Z6" s="167">
        <v>26</v>
      </c>
      <c r="AA6" s="167">
        <v>27</v>
      </c>
      <c r="AB6" s="167">
        <v>28</v>
      </c>
      <c r="AC6" s="167">
        <v>29</v>
      </c>
      <c r="AD6" s="167">
        <v>30</v>
      </c>
      <c r="AE6" s="167">
        <v>31</v>
      </c>
      <c r="AF6" s="167">
        <v>32</v>
      </c>
      <c r="AG6" s="167">
        <v>33</v>
      </c>
      <c r="AH6" s="167">
        <v>34</v>
      </c>
      <c r="AI6" s="167">
        <v>35</v>
      </c>
      <c r="AJ6" s="167">
        <v>36</v>
      </c>
      <c r="AK6" s="167">
        <v>37</v>
      </c>
      <c r="AL6" s="167">
        <v>38</v>
      </c>
      <c r="AM6" s="167">
        <v>39</v>
      </c>
      <c r="AN6" s="167">
        <v>40</v>
      </c>
      <c r="AO6" s="167">
        <v>41</v>
      </c>
      <c r="AP6" s="167">
        <v>42</v>
      </c>
      <c r="AQ6" s="167">
        <v>43</v>
      </c>
      <c r="AR6" s="167">
        <v>44</v>
      </c>
    </row>
    <row r="7" spans="1:44" ht="31.5">
      <c r="A7" s="1022" t="s">
        <v>121</v>
      </c>
      <c r="B7" s="1022"/>
      <c r="C7" s="1022"/>
      <c r="D7" s="1022"/>
      <c r="E7" s="1022"/>
      <c r="F7" s="1022"/>
      <c r="G7" s="1022"/>
      <c r="H7" s="1022"/>
      <c r="I7" s="1022"/>
      <c r="J7" s="1022"/>
      <c r="K7" s="1022"/>
      <c r="L7" s="1022"/>
      <c r="M7" s="1022"/>
      <c r="N7" s="113"/>
      <c r="O7" s="536"/>
      <c r="P7" s="549"/>
      <c r="Q7" s="547"/>
      <c r="R7" s="536"/>
      <c r="S7" s="537"/>
      <c r="T7" s="12"/>
      <c r="U7" s="536"/>
      <c r="V7" s="549"/>
      <c r="W7" s="547"/>
      <c r="X7" s="536"/>
      <c r="Y7" s="537"/>
      <c r="Z7" s="12"/>
      <c r="AA7" s="536"/>
      <c r="AB7" s="549"/>
      <c r="AC7" s="547"/>
      <c r="AD7" s="536"/>
      <c r="AE7" s="537"/>
      <c r="AF7" s="12"/>
      <c r="AG7" s="536"/>
      <c r="AH7" s="549"/>
      <c r="AI7" s="547"/>
      <c r="AJ7" s="536"/>
      <c r="AK7" s="538"/>
      <c r="AL7" s="12"/>
      <c r="AM7" s="536"/>
      <c r="AN7" s="549"/>
      <c r="AO7" s="547"/>
      <c r="AP7" s="536"/>
      <c r="AQ7" s="538"/>
      <c r="AR7" s="530"/>
    </row>
    <row r="8" spans="1:44" ht="52.5" customHeight="1">
      <c r="A8" s="1008">
        <v>1</v>
      </c>
      <c r="B8" s="1008">
        <v>2795038</v>
      </c>
      <c r="C8" s="1023" t="s">
        <v>122</v>
      </c>
      <c r="D8" s="1024">
        <v>9.7799999999999994</v>
      </c>
      <c r="E8" s="1017">
        <v>129733</v>
      </c>
      <c r="F8" s="1018">
        <v>9.7799999999999994</v>
      </c>
      <c r="G8" s="1017">
        <v>129733</v>
      </c>
      <c r="H8" s="49"/>
      <c r="I8" s="49"/>
      <c r="J8" s="536"/>
      <c r="K8" s="47"/>
      <c r="L8" s="50"/>
      <c r="M8" s="537"/>
      <c r="N8" s="49"/>
      <c r="O8" s="49"/>
      <c r="P8" s="536"/>
      <c r="Q8" s="547"/>
      <c r="R8" s="536"/>
      <c r="S8" s="537"/>
      <c r="T8" s="1008"/>
      <c r="U8" s="1008"/>
      <c r="V8" s="1008"/>
      <c r="W8" s="547"/>
      <c r="X8" s="553"/>
      <c r="Y8" s="1017"/>
      <c r="Z8" s="12"/>
      <c r="AA8" s="536"/>
      <c r="AB8" s="536"/>
      <c r="AC8" s="547"/>
      <c r="AD8" s="536"/>
      <c r="AE8" s="537"/>
      <c r="AF8" s="536"/>
      <c r="AG8" s="536"/>
      <c r="AH8" s="536"/>
      <c r="AI8" s="547"/>
      <c r="AJ8" s="536"/>
      <c r="AK8" s="538"/>
      <c r="AL8" s="12"/>
      <c r="AM8" s="536"/>
      <c r="AN8" s="536" t="s">
        <v>93</v>
      </c>
      <c r="AO8" s="547">
        <v>1</v>
      </c>
      <c r="AP8" s="536" t="s">
        <v>118</v>
      </c>
      <c r="AQ8" s="537">
        <v>50</v>
      </c>
      <c r="AR8" s="530"/>
    </row>
    <row r="9" spans="1:44" ht="29.25" customHeight="1">
      <c r="A9" s="1008"/>
      <c r="B9" s="1008"/>
      <c r="C9" s="1023"/>
      <c r="D9" s="1024"/>
      <c r="E9" s="1017"/>
      <c r="F9" s="1018"/>
      <c r="G9" s="1017"/>
      <c r="H9" s="539"/>
      <c r="I9" s="536"/>
      <c r="J9" s="536"/>
      <c r="K9" s="42"/>
      <c r="L9" s="537"/>
      <c r="M9" s="537"/>
      <c r="N9" s="538"/>
      <c r="O9" s="536"/>
      <c r="P9" s="536"/>
      <c r="Q9" s="547"/>
      <c r="R9" s="536"/>
      <c r="S9" s="537"/>
      <c r="T9" s="1008"/>
      <c r="U9" s="1008"/>
      <c r="V9" s="1008"/>
      <c r="W9" s="536"/>
      <c r="X9" s="43"/>
      <c r="Y9" s="1017"/>
      <c r="Z9" s="12"/>
      <c r="AA9" s="536"/>
      <c r="AB9" s="536"/>
      <c r="AC9" s="547"/>
      <c r="AD9" s="536"/>
      <c r="AE9" s="537"/>
      <c r="AF9" s="536"/>
      <c r="AG9" s="536"/>
      <c r="AH9" s="536"/>
      <c r="AI9" s="547"/>
      <c r="AJ9" s="536"/>
      <c r="AK9" s="538"/>
      <c r="AL9" s="12"/>
      <c r="AM9" s="536"/>
      <c r="AN9" s="536"/>
      <c r="AO9" s="547"/>
      <c r="AP9" s="536"/>
      <c r="AQ9" s="538"/>
      <c r="AR9" s="530"/>
    </row>
    <row r="10" spans="1:44" ht="37.5" customHeight="1">
      <c r="A10" s="1008">
        <v>2</v>
      </c>
      <c r="B10" s="1008">
        <v>739444</v>
      </c>
      <c r="C10" s="1025" t="s">
        <v>123</v>
      </c>
      <c r="D10" s="1024">
        <v>1.34</v>
      </c>
      <c r="E10" s="1017">
        <v>22500</v>
      </c>
      <c r="F10" s="1018">
        <v>1.34</v>
      </c>
      <c r="G10" s="1017">
        <v>22500</v>
      </c>
      <c r="H10" s="549"/>
      <c r="I10" s="549"/>
      <c r="J10" s="549"/>
      <c r="K10" s="45"/>
      <c r="L10" s="46"/>
      <c r="M10" s="549"/>
      <c r="N10" s="318" t="s">
        <v>2772</v>
      </c>
      <c r="O10" s="318" t="s">
        <v>2772</v>
      </c>
      <c r="P10" s="536" t="s">
        <v>462</v>
      </c>
      <c r="Q10" s="547">
        <v>1</v>
      </c>
      <c r="R10" s="536" t="s">
        <v>118</v>
      </c>
      <c r="S10" s="725">
        <v>50</v>
      </c>
      <c r="T10" s="903" t="s">
        <v>60</v>
      </c>
      <c r="U10" s="1008" t="s">
        <v>2931</v>
      </c>
      <c r="V10" s="1008" t="s">
        <v>117</v>
      </c>
      <c r="W10" s="547"/>
      <c r="X10" s="553" t="s">
        <v>17</v>
      </c>
      <c r="Y10" s="1017">
        <f>623742-16500</f>
        <v>607242</v>
      </c>
      <c r="Z10" s="903" t="s">
        <v>60</v>
      </c>
      <c r="AA10" s="1008" t="s">
        <v>2931</v>
      </c>
      <c r="AB10" s="1008" t="s">
        <v>117</v>
      </c>
      <c r="AC10" s="547">
        <v>1.3</v>
      </c>
      <c r="AD10" s="553" t="s">
        <v>17</v>
      </c>
      <c r="AE10" s="1017">
        <f>837597.95-25500+11294.45</f>
        <v>823392.39999999991</v>
      </c>
      <c r="AF10" s="12"/>
      <c r="AG10" s="536"/>
      <c r="AH10" s="536"/>
      <c r="AI10" s="547"/>
      <c r="AJ10" s="536"/>
      <c r="AK10" s="538"/>
      <c r="AL10" s="12"/>
      <c r="AM10" s="536"/>
      <c r="AN10" s="536"/>
      <c r="AO10" s="547"/>
      <c r="AP10" s="536"/>
      <c r="AQ10" s="538"/>
      <c r="AR10" s="530"/>
    </row>
    <row r="11" spans="1:44" ht="37.5">
      <c r="A11" s="1008"/>
      <c r="B11" s="1008"/>
      <c r="C11" s="1025"/>
      <c r="D11" s="1024"/>
      <c r="E11" s="1017"/>
      <c r="F11" s="1018"/>
      <c r="G11" s="1017"/>
      <c r="H11" s="549"/>
      <c r="I11" s="549"/>
      <c r="J11" s="549"/>
      <c r="K11" s="45"/>
      <c r="L11" s="46"/>
      <c r="M11" s="537"/>
      <c r="N11" s="318" t="s">
        <v>2821</v>
      </c>
      <c r="O11" s="318" t="s">
        <v>2821</v>
      </c>
      <c r="P11" s="536" t="s">
        <v>93</v>
      </c>
      <c r="Q11" s="547">
        <v>1</v>
      </c>
      <c r="R11" s="536" t="s">
        <v>118</v>
      </c>
      <c r="S11" s="725">
        <v>10</v>
      </c>
      <c r="T11" s="903"/>
      <c r="U11" s="1008"/>
      <c r="V11" s="1008"/>
      <c r="W11" s="539"/>
      <c r="X11" s="43" t="s">
        <v>32</v>
      </c>
      <c r="Y11" s="1017"/>
      <c r="Z11" s="903"/>
      <c r="AA11" s="1008"/>
      <c r="AB11" s="1008"/>
      <c r="AC11" s="539">
        <v>9800</v>
      </c>
      <c r="AD11" s="43" t="s">
        <v>32</v>
      </c>
      <c r="AE11" s="1017"/>
      <c r="AF11" s="12"/>
      <c r="AG11" s="536"/>
      <c r="AH11" s="536"/>
      <c r="AI11" s="547"/>
      <c r="AJ11" s="536"/>
      <c r="AK11" s="538"/>
      <c r="AL11" s="12"/>
      <c r="AM11" s="536"/>
      <c r="AN11" s="536"/>
      <c r="AO11" s="547"/>
      <c r="AP11" s="536"/>
      <c r="AQ11" s="538"/>
      <c r="AR11" s="530"/>
    </row>
    <row r="12" spans="1:44" ht="56.25">
      <c r="A12" s="1008"/>
      <c r="B12" s="1008"/>
      <c r="C12" s="1025"/>
      <c r="D12" s="1024"/>
      <c r="E12" s="1017"/>
      <c r="F12" s="1018"/>
      <c r="G12" s="1017"/>
      <c r="H12" s="549"/>
      <c r="I12" s="549"/>
      <c r="J12" s="549"/>
      <c r="K12" s="47"/>
      <c r="L12" s="46"/>
      <c r="M12" s="537"/>
      <c r="N12" s="318" t="s">
        <v>2838</v>
      </c>
      <c r="O12" s="318" t="s">
        <v>2860</v>
      </c>
      <c r="P12" s="536" t="s">
        <v>120</v>
      </c>
      <c r="Q12" s="547">
        <v>1</v>
      </c>
      <c r="R12" s="536" t="s">
        <v>118</v>
      </c>
      <c r="S12" s="725">
        <v>500</v>
      </c>
      <c r="T12" s="1008"/>
      <c r="U12" s="1008"/>
      <c r="V12" s="549"/>
      <c r="W12" s="47"/>
      <c r="X12" s="46"/>
      <c r="Y12" s="537"/>
      <c r="Z12" s="549"/>
      <c r="AA12" s="549"/>
      <c r="AB12" s="549"/>
      <c r="AC12" s="47"/>
      <c r="AD12" s="46"/>
      <c r="AE12" s="537"/>
      <c r="AF12" s="12"/>
      <c r="AG12" s="536"/>
      <c r="AH12" s="536"/>
      <c r="AI12" s="547"/>
      <c r="AJ12" s="536"/>
      <c r="AK12" s="538"/>
      <c r="AL12" s="12"/>
      <c r="AM12" s="536"/>
      <c r="AN12" s="536"/>
      <c r="AO12" s="547"/>
      <c r="AP12" s="536"/>
      <c r="AQ12" s="538"/>
      <c r="AR12" s="530"/>
    </row>
    <row r="13" spans="1:44" ht="56.25">
      <c r="A13" s="536">
        <v>3</v>
      </c>
      <c r="B13" s="536">
        <v>739444</v>
      </c>
      <c r="C13" s="546" t="s">
        <v>124</v>
      </c>
      <c r="D13" s="547">
        <v>1.97</v>
      </c>
      <c r="E13" s="537">
        <v>27912</v>
      </c>
      <c r="F13" s="548">
        <v>1.97</v>
      </c>
      <c r="G13" s="537">
        <v>27912</v>
      </c>
      <c r="H13" s="49"/>
      <c r="I13" s="49"/>
      <c r="J13" s="536"/>
      <c r="K13" s="47"/>
      <c r="L13" s="50"/>
      <c r="M13" s="537"/>
      <c r="N13" s="318" t="s">
        <v>2863</v>
      </c>
      <c r="O13" s="318" t="s">
        <v>2864</v>
      </c>
      <c r="P13" s="536" t="s">
        <v>462</v>
      </c>
      <c r="Q13" s="547">
        <v>1</v>
      </c>
      <c r="R13" s="536" t="s">
        <v>118</v>
      </c>
      <c r="S13" s="725">
        <v>100</v>
      </c>
      <c r="T13" s="1019"/>
      <c r="U13" s="1019"/>
      <c r="V13" s="536"/>
      <c r="W13" s="47"/>
      <c r="X13" s="50"/>
      <c r="Y13" s="537"/>
      <c r="Z13" s="1019"/>
      <c r="AA13" s="1019"/>
      <c r="AB13" s="536"/>
      <c r="AC13" s="47"/>
      <c r="AD13" s="50"/>
      <c r="AE13" s="537"/>
      <c r="AF13" s="12"/>
      <c r="AG13" s="536"/>
      <c r="AH13" s="536"/>
      <c r="AI13" s="547"/>
      <c r="AJ13" s="536"/>
      <c r="AK13" s="538"/>
      <c r="AL13" s="49"/>
      <c r="AM13" s="49"/>
      <c r="AN13" s="536"/>
      <c r="AO13" s="47"/>
      <c r="AP13" s="50"/>
      <c r="AQ13" s="538"/>
      <c r="AR13" s="530"/>
    </row>
    <row r="14" spans="1:44" ht="52.5" customHeight="1">
      <c r="A14" s="1008">
        <v>4</v>
      </c>
      <c r="B14" s="1008">
        <v>739444</v>
      </c>
      <c r="C14" s="1025" t="s">
        <v>125</v>
      </c>
      <c r="D14" s="1024">
        <v>1.38</v>
      </c>
      <c r="E14" s="1017">
        <v>19565</v>
      </c>
      <c r="F14" s="1018">
        <v>1.38</v>
      </c>
      <c r="G14" s="1017">
        <v>19565</v>
      </c>
      <c r="H14" s="1019" t="s">
        <v>60</v>
      </c>
      <c r="I14" s="971" t="s">
        <v>2696</v>
      </c>
      <c r="J14" s="1020" t="s">
        <v>114</v>
      </c>
      <c r="K14" s="558">
        <v>1.17</v>
      </c>
      <c r="L14" s="553" t="s">
        <v>17</v>
      </c>
      <c r="M14" s="1017">
        <v>23209.099020000001</v>
      </c>
      <c r="N14" s="538" t="s">
        <v>2773</v>
      </c>
      <c r="O14" s="536" t="s">
        <v>2774</v>
      </c>
      <c r="P14" s="536" t="s">
        <v>120</v>
      </c>
      <c r="Q14" s="547">
        <v>1</v>
      </c>
      <c r="R14" s="536" t="s">
        <v>118</v>
      </c>
      <c r="S14" s="725">
        <v>300</v>
      </c>
      <c r="T14" s="12"/>
      <c r="U14" s="536"/>
      <c r="V14" s="536"/>
      <c r="W14" s="547"/>
      <c r="X14" s="536"/>
      <c r="Y14" s="537"/>
      <c r="Z14" s="12"/>
      <c r="AA14" s="536"/>
      <c r="AB14" s="536"/>
      <c r="AC14" s="547"/>
      <c r="AD14" s="536"/>
      <c r="AE14" s="537"/>
      <c r="AF14" s="12"/>
      <c r="AG14" s="536"/>
      <c r="AH14" s="536"/>
      <c r="AI14" s="547"/>
      <c r="AJ14" s="536"/>
      <c r="AK14" s="538"/>
      <c r="AL14" s="12"/>
      <c r="AM14" s="536"/>
      <c r="AN14" s="536"/>
      <c r="AO14" s="547"/>
      <c r="AP14" s="536"/>
      <c r="AQ14" s="538"/>
      <c r="AR14" s="530"/>
    </row>
    <row r="15" spans="1:44" ht="36.75" customHeight="1">
      <c r="A15" s="1008"/>
      <c r="B15" s="1008"/>
      <c r="C15" s="1025"/>
      <c r="D15" s="1024"/>
      <c r="E15" s="1017"/>
      <c r="F15" s="1018"/>
      <c r="G15" s="1017"/>
      <c r="H15" s="1019"/>
      <c r="I15" s="971"/>
      <c r="J15" s="1020"/>
      <c r="K15" s="51">
        <v>14575</v>
      </c>
      <c r="L15" s="43" t="s">
        <v>32</v>
      </c>
      <c r="M15" s="1017"/>
      <c r="N15" s="538"/>
      <c r="O15" s="536"/>
      <c r="P15" s="536"/>
      <c r="Q15" s="547"/>
      <c r="R15" s="536"/>
      <c r="S15" s="725"/>
      <c r="T15" s="12"/>
      <c r="U15" s="536"/>
      <c r="V15" s="536"/>
      <c r="W15" s="547"/>
      <c r="X15" s="536"/>
      <c r="Y15" s="537"/>
      <c r="Z15" s="12"/>
      <c r="AA15" s="536"/>
      <c r="AB15" s="536"/>
      <c r="AC15" s="547"/>
      <c r="AD15" s="536"/>
      <c r="AE15" s="537"/>
      <c r="AF15" s="12"/>
      <c r="AG15" s="536"/>
      <c r="AH15" s="536"/>
      <c r="AI15" s="547"/>
      <c r="AJ15" s="536"/>
      <c r="AK15" s="538"/>
      <c r="AL15" s="12"/>
      <c r="AM15" s="536"/>
      <c r="AN15" s="536"/>
      <c r="AO15" s="547"/>
      <c r="AP15" s="536"/>
      <c r="AQ15" s="538"/>
      <c r="AR15" s="530"/>
    </row>
    <row r="16" spans="1:44" ht="35.25" customHeight="1">
      <c r="A16" s="1008">
        <v>5</v>
      </c>
      <c r="B16" s="1008">
        <v>749877</v>
      </c>
      <c r="C16" s="1025" t="s">
        <v>126</v>
      </c>
      <c r="D16" s="1024">
        <v>3.27</v>
      </c>
      <c r="E16" s="1017">
        <v>105619</v>
      </c>
      <c r="F16" s="1018">
        <v>3.27</v>
      </c>
      <c r="G16" s="1017">
        <v>105619</v>
      </c>
      <c r="H16" s="1019" t="s">
        <v>60</v>
      </c>
      <c r="I16" s="1019" t="s">
        <v>2697</v>
      </c>
      <c r="J16" s="1020" t="s">
        <v>114</v>
      </c>
      <c r="K16" s="558">
        <v>0.25</v>
      </c>
      <c r="L16" s="553" t="s">
        <v>17</v>
      </c>
      <c r="M16" s="903">
        <v>10137.09024</v>
      </c>
      <c r="N16" s="903" t="s">
        <v>2697</v>
      </c>
      <c r="O16" s="1008" t="s">
        <v>2612</v>
      </c>
      <c r="P16" s="1020" t="s">
        <v>114</v>
      </c>
      <c r="Q16" s="558">
        <v>0.89800000000000002</v>
      </c>
      <c r="R16" s="553" t="s">
        <v>17</v>
      </c>
      <c r="S16" s="1034">
        <v>36919.800000000003</v>
      </c>
      <c r="T16" s="971"/>
      <c r="U16" s="971"/>
      <c r="V16" s="1028"/>
      <c r="W16" s="1029"/>
      <c r="X16" s="1028"/>
      <c r="Y16" s="1033"/>
      <c r="Z16" s="12"/>
      <c r="AA16" s="536"/>
      <c r="AB16" s="536"/>
      <c r="AC16" s="547"/>
      <c r="AD16" s="536"/>
      <c r="AE16" s="537"/>
      <c r="AF16" s="12"/>
      <c r="AG16" s="536"/>
      <c r="AH16" s="536"/>
      <c r="AI16" s="547"/>
      <c r="AJ16" s="536"/>
      <c r="AK16" s="538"/>
      <c r="AL16" s="1032"/>
      <c r="AM16" s="1032"/>
      <c r="AN16" s="1028"/>
      <c r="AO16" s="1029"/>
      <c r="AP16" s="1028"/>
      <c r="AQ16" s="1030"/>
      <c r="AR16" s="530"/>
    </row>
    <row r="17" spans="1:44" ht="47.25" customHeight="1">
      <c r="A17" s="1008"/>
      <c r="B17" s="1008"/>
      <c r="C17" s="1025"/>
      <c r="D17" s="1024"/>
      <c r="E17" s="1017"/>
      <c r="F17" s="1018"/>
      <c r="G17" s="1017"/>
      <c r="H17" s="1019"/>
      <c r="I17" s="1019"/>
      <c r="J17" s="1020"/>
      <c r="K17" s="51">
        <v>8000</v>
      </c>
      <c r="L17" s="43" t="s">
        <v>32</v>
      </c>
      <c r="M17" s="903"/>
      <c r="N17" s="903"/>
      <c r="O17" s="1008"/>
      <c r="P17" s="1020"/>
      <c r="Q17" s="51">
        <v>29000</v>
      </c>
      <c r="R17" s="43" t="s">
        <v>32</v>
      </c>
      <c r="S17" s="1035"/>
      <c r="T17" s="971"/>
      <c r="U17" s="971"/>
      <c r="V17" s="1028"/>
      <c r="W17" s="1029"/>
      <c r="X17" s="1028"/>
      <c r="Y17" s="1033"/>
      <c r="Z17" s="12"/>
      <c r="AA17" s="536"/>
      <c r="AB17" s="536"/>
      <c r="AC17" s="547"/>
      <c r="AD17" s="536"/>
      <c r="AE17" s="537"/>
      <c r="AF17" s="12"/>
      <c r="AG17" s="536"/>
      <c r="AH17" s="536"/>
      <c r="AI17" s="547"/>
      <c r="AJ17" s="536"/>
      <c r="AK17" s="538"/>
      <c r="AL17" s="1032"/>
      <c r="AM17" s="1032"/>
      <c r="AN17" s="1028"/>
      <c r="AO17" s="1029"/>
      <c r="AP17" s="1028"/>
      <c r="AQ17" s="1030"/>
      <c r="AR17" s="530"/>
    </row>
    <row r="18" spans="1:44" ht="56.25">
      <c r="A18" s="1008"/>
      <c r="B18" s="1008"/>
      <c r="C18" s="1025"/>
      <c r="D18" s="1024"/>
      <c r="E18" s="1017"/>
      <c r="F18" s="1018"/>
      <c r="G18" s="1017"/>
      <c r="H18" s="536"/>
      <c r="I18" s="536"/>
      <c r="J18" s="549"/>
      <c r="K18" s="47"/>
      <c r="L18" s="553"/>
      <c r="M18" s="537"/>
      <c r="N18" s="549" t="s">
        <v>2775</v>
      </c>
      <c r="O18" s="549" t="s">
        <v>2776</v>
      </c>
      <c r="P18" s="536" t="s">
        <v>120</v>
      </c>
      <c r="Q18" s="547">
        <v>1</v>
      </c>
      <c r="R18" s="536" t="s">
        <v>118</v>
      </c>
      <c r="S18" s="725">
        <v>500</v>
      </c>
      <c r="T18" s="554"/>
      <c r="U18" s="554"/>
      <c r="V18" s="1028"/>
      <c r="W18" s="1029"/>
      <c r="X18" s="1028"/>
      <c r="Y18" s="1033"/>
      <c r="Z18" s="12"/>
      <c r="AA18" s="536"/>
      <c r="AB18" s="536"/>
      <c r="AC18" s="547"/>
      <c r="AD18" s="536"/>
      <c r="AE18" s="537"/>
      <c r="AF18" s="957"/>
      <c r="AG18" s="1008"/>
      <c r="AH18" s="1008"/>
      <c r="AI18" s="547"/>
      <c r="AJ18" s="553"/>
      <c r="AK18" s="903"/>
      <c r="AL18" s="1031"/>
      <c r="AM18" s="1023"/>
      <c r="AN18" s="1023"/>
      <c r="AO18" s="547"/>
      <c r="AP18" s="553"/>
      <c r="AQ18" s="1027"/>
      <c r="AR18" s="530"/>
    </row>
    <row r="19" spans="1:44" ht="56.25">
      <c r="A19" s="1008"/>
      <c r="B19" s="1008"/>
      <c r="C19" s="1025"/>
      <c r="D19" s="1024"/>
      <c r="E19" s="1017"/>
      <c r="F19" s="1018"/>
      <c r="G19" s="1017"/>
      <c r="H19" s="536"/>
      <c r="I19" s="312"/>
      <c r="J19" s="536"/>
      <c r="K19" s="42"/>
      <c r="L19" s="50"/>
      <c r="M19" s="537"/>
      <c r="N19" s="549" t="s">
        <v>2846</v>
      </c>
      <c r="O19" s="549" t="s">
        <v>2846</v>
      </c>
      <c r="P19" s="536" t="s">
        <v>120</v>
      </c>
      <c r="Q19" s="547">
        <v>1</v>
      </c>
      <c r="R19" s="536" t="s">
        <v>118</v>
      </c>
      <c r="S19" s="725">
        <v>20</v>
      </c>
      <c r="T19" s="554"/>
      <c r="U19" s="554"/>
      <c r="V19" s="1028"/>
      <c r="W19" s="1029"/>
      <c r="X19" s="1028"/>
      <c r="Y19" s="1033"/>
      <c r="Z19" s="12"/>
      <c r="AA19" s="536"/>
      <c r="AB19" s="536"/>
      <c r="AC19" s="547"/>
      <c r="AD19" s="536"/>
      <c r="AE19" s="537"/>
      <c r="AF19" s="957"/>
      <c r="AG19" s="1008"/>
      <c r="AH19" s="1008"/>
      <c r="AI19" s="536"/>
      <c r="AJ19" s="43"/>
      <c r="AK19" s="903"/>
      <c r="AL19" s="1026"/>
      <c r="AM19" s="1026"/>
      <c r="AN19" s="1026"/>
      <c r="AO19" s="536"/>
      <c r="AP19" s="43"/>
      <c r="AQ19" s="1027"/>
      <c r="AR19" s="530"/>
    </row>
    <row r="20" spans="1:44" ht="56.25">
      <c r="A20" s="1008"/>
      <c r="B20" s="1008"/>
      <c r="C20" s="1025"/>
      <c r="D20" s="1024"/>
      <c r="E20" s="1017"/>
      <c r="F20" s="1018"/>
      <c r="G20" s="1017"/>
      <c r="H20" s="536"/>
      <c r="I20" s="536"/>
      <c r="J20" s="549"/>
      <c r="K20" s="47"/>
      <c r="L20" s="553"/>
      <c r="M20" s="537"/>
      <c r="N20" s="549" t="s">
        <v>2777</v>
      </c>
      <c r="O20" s="549" t="s">
        <v>2778</v>
      </c>
      <c r="P20" s="536" t="s">
        <v>120</v>
      </c>
      <c r="Q20" s="547">
        <v>1</v>
      </c>
      <c r="R20" s="536" t="s">
        <v>118</v>
      </c>
      <c r="S20" s="725">
        <v>350</v>
      </c>
      <c r="T20" s="312"/>
      <c r="U20" s="312"/>
      <c r="V20" s="555"/>
      <c r="W20" s="556"/>
      <c r="X20" s="555"/>
      <c r="Y20" s="557"/>
      <c r="Z20" s="12"/>
      <c r="AA20" s="536"/>
      <c r="AB20" s="536"/>
      <c r="AC20" s="547"/>
      <c r="AD20" s="536"/>
      <c r="AE20" s="537"/>
      <c r="AF20" s="1008"/>
      <c r="AG20" s="1008"/>
      <c r="AH20" s="549"/>
      <c r="AI20" s="47"/>
      <c r="AJ20" s="553"/>
      <c r="AK20" s="538"/>
      <c r="AL20" s="550"/>
      <c r="AM20" s="550"/>
      <c r="AN20" s="550"/>
      <c r="AO20" s="536"/>
      <c r="AP20" s="43"/>
      <c r="AQ20" s="318"/>
      <c r="AR20" s="530"/>
    </row>
    <row r="21" spans="1:44" ht="37.5">
      <c r="A21" s="1008">
        <v>6</v>
      </c>
      <c r="B21" s="1008">
        <v>745038</v>
      </c>
      <c r="C21" s="1025" t="s">
        <v>127</v>
      </c>
      <c r="D21" s="1024">
        <v>2.94</v>
      </c>
      <c r="E21" s="1017">
        <v>31430</v>
      </c>
      <c r="F21" s="1018">
        <v>2.94</v>
      </c>
      <c r="G21" s="1017">
        <v>31430</v>
      </c>
      <c r="H21" s="1019" t="s">
        <v>2698</v>
      </c>
      <c r="I21" s="971" t="s">
        <v>2699</v>
      </c>
      <c r="J21" s="1020" t="s">
        <v>114</v>
      </c>
      <c r="K21" s="558">
        <v>0.4</v>
      </c>
      <c r="L21" s="553" t="s">
        <v>17</v>
      </c>
      <c r="M21" s="1017">
        <v>5775.16878</v>
      </c>
      <c r="N21" s="549" t="s">
        <v>2779</v>
      </c>
      <c r="O21" s="549" t="s">
        <v>2780</v>
      </c>
      <c r="P21" s="536" t="s">
        <v>93</v>
      </c>
      <c r="Q21" s="547">
        <v>1</v>
      </c>
      <c r="R21" s="536" t="s">
        <v>118</v>
      </c>
      <c r="S21" s="725">
        <v>50</v>
      </c>
      <c r="T21" s="12"/>
      <c r="U21" s="536"/>
      <c r="V21" s="536"/>
      <c r="W21" s="547"/>
      <c r="X21" s="536"/>
      <c r="Y21" s="537"/>
      <c r="Z21" s="12"/>
      <c r="AA21" s="536"/>
      <c r="AB21" s="536"/>
      <c r="AC21" s="547"/>
      <c r="AD21" s="536"/>
      <c r="AE21" s="537"/>
      <c r="AF21" s="12"/>
      <c r="AG21" s="536"/>
      <c r="AH21" s="536"/>
      <c r="AI21" s="547"/>
      <c r="AJ21" s="536"/>
      <c r="AK21" s="538"/>
      <c r="AL21" s="12"/>
      <c r="AM21" s="536"/>
      <c r="AN21" s="536"/>
      <c r="AO21" s="547"/>
      <c r="AP21" s="536"/>
      <c r="AQ21" s="538"/>
      <c r="AR21" s="530"/>
    </row>
    <row r="22" spans="1:44" ht="56.25">
      <c r="A22" s="1008"/>
      <c r="B22" s="1008"/>
      <c r="C22" s="1025"/>
      <c r="D22" s="1024"/>
      <c r="E22" s="1017"/>
      <c r="F22" s="1018"/>
      <c r="G22" s="1017"/>
      <c r="H22" s="1019"/>
      <c r="I22" s="971"/>
      <c r="J22" s="1020"/>
      <c r="K22" s="51">
        <v>4960</v>
      </c>
      <c r="L22" s="43" t="s">
        <v>32</v>
      </c>
      <c r="M22" s="1017"/>
      <c r="N22" s="549" t="s">
        <v>2781</v>
      </c>
      <c r="O22" s="549" t="s">
        <v>2778</v>
      </c>
      <c r="P22" s="536" t="s">
        <v>120</v>
      </c>
      <c r="Q22" s="547">
        <v>1</v>
      </c>
      <c r="R22" s="536" t="s">
        <v>118</v>
      </c>
      <c r="S22" s="725">
        <v>600</v>
      </c>
      <c r="T22" s="12"/>
      <c r="U22" s="536"/>
      <c r="V22" s="536"/>
      <c r="W22" s="547"/>
      <c r="X22" s="536"/>
      <c r="Y22" s="537"/>
      <c r="Z22" s="12"/>
      <c r="AA22" s="536"/>
      <c r="AB22" s="536"/>
      <c r="AC22" s="547"/>
      <c r="AD22" s="536"/>
      <c r="AE22" s="537"/>
      <c r="AF22" s="12"/>
      <c r="AG22" s="536"/>
      <c r="AH22" s="536"/>
      <c r="AI22" s="547"/>
      <c r="AJ22" s="536"/>
      <c r="AK22" s="538"/>
      <c r="AL22" s="12"/>
      <c r="AM22" s="536"/>
      <c r="AN22" s="536"/>
      <c r="AO22" s="547"/>
      <c r="AP22" s="536"/>
      <c r="AQ22" s="538"/>
      <c r="AR22" s="530"/>
    </row>
    <row r="23" spans="1:44" ht="18.75">
      <c r="A23" s="1008"/>
      <c r="B23" s="1008"/>
      <c r="C23" s="1025"/>
      <c r="D23" s="1024"/>
      <c r="E23" s="1017"/>
      <c r="F23" s="1018"/>
      <c r="G23" s="1017"/>
      <c r="H23" s="536"/>
      <c r="I23" s="536"/>
      <c r="J23" s="549"/>
      <c r="K23" s="47"/>
      <c r="L23" s="553"/>
      <c r="M23" s="537"/>
      <c r="N23" s="549"/>
      <c r="O23" s="549"/>
      <c r="P23" s="549"/>
      <c r="Q23" s="47"/>
      <c r="R23" s="553"/>
      <c r="S23" s="725"/>
      <c r="T23" s="1008"/>
      <c r="U23" s="1008"/>
      <c r="V23" s="549"/>
      <c r="W23" s="47"/>
      <c r="X23" s="553"/>
      <c r="Y23" s="537"/>
      <c r="Z23" s="1008"/>
      <c r="AA23" s="1008"/>
      <c r="AB23" s="549"/>
      <c r="AC23" s="47"/>
      <c r="AD23" s="553"/>
      <c r="AE23" s="537"/>
      <c r="AF23" s="12"/>
      <c r="AG23" s="536"/>
      <c r="AH23" s="536"/>
      <c r="AI23" s="547"/>
      <c r="AJ23" s="536"/>
      <c r="AK23" s="538"/>
      <c r="AL23" s="549"/>
      <c r="AM23" s="549"/>
      <c r="AN23" s="549"/>
      <c r="AO23" s="47"/>
      <c r="AP23" s="553"/>
      <c r="AQ23" s="538"/>
      <c r="AR23" s="530"/>
    </row>
    <row r="24" spans="1:44" ht="56.25">
      <c r="A24" s="1008">
        <v>7</v>
      </c>
      <c r="B24" s="1008">
        <v>738433</v>
      </c>
      <c r="C24" s="1025" t="s">
        <v>128</v>
      </c>
      <c r="D24" s="1024">
        <v>3.02</v>
      </c>
      <c r="E24" s="1017">
        <v>37727</v>
      </c>
      <c r="F24" s="1018">
        <v>3.02</v>
      </c>
      <c r="G24" s="1017">
        <v>37727</v>
      </c>
      <c r="H24" s="539"/>
      <c r="I24" s="539"/>
      <c r="J24" s="549"/>
      <c r="K24" s="47"/>
      <c r="L24" s="553"/>
      <c r="M24" s="320"/>
      <c r="N24" s="549" t="s">
        <v>2850</v>
      </c>
      <c r="O24" s="549" t="s">
        <v>2851</v>
      </c>
      <c r="P24" s="536" t="s">
        <v>120</v>
      </c>
      <c r="Q24" s="547">
        <v>1</v>
      </c>
      <c r="R24" s="536" t="s">
        <v>118</v>
      </c>
      <c r="S24" s="725">
        <v>500</v>
      </c>
      <c r="T24" s="12"/>
      <c r="U24" s="536"/>
      <c r="V24" s="536"/>
      <c r="W24" s="547"/>
      <c r="X24" s="536"/>
      <c r="Y24" s="537"/>
      <c r="Z24" s="1019"/>
      <c r="AA24" s="1019"/>
      <c r="AB24" s="549"/>
      <c r="AC24" s="47"/>
      <c r="AD24" s="553"/>
      <c r="AE24" s="320"/>
      <c r="AF24" s="1019"/>
      <c r="AG24" s="1019"/>
      <c r="AH24" s="549"/>
      <c r="AI24" s="47"/>
      <c r="AJ24" s="553"/>
      <c r="AK24" s="318"/>
      <c r="AL24" s="49"/>
      <c r="AM24" s="49"/>
      <c r="AN24" s="549"/>
      <c r="AO24" s="47"/>
      <c r="AP24" s="553"/>
      <c r="AQ24" s="538"/>
      <c r="AR24" s="530"/>
    </row>
    <row r="25" spans="1:44" ht="56.25">
      <c r="A25" s="1008"/>
      <c r="B25" s="1008"/>
      <c r="C25" s="1025"/>
      <c r="D25" s="1024"/>
      <c r="E25" s="1017"/>
      <c r="F25" s="1018"/>
      <c r="G25" s="1017"/>
      <c r="H25" s="539"/>
      <c r="I25" s="312"/>
      <c r="J25" s="549"/>
      <c r="K25" s="51"/>
      <c r="L25" s="43"/>
      <c r="M25" s="320"/>
      <c r="N25" s="549" t="s">
        <v>2782</v>
      </c>
      <c r="O25" s="549" t="s">
        <v>2783</v>
      </c>
      <c r="P25" s="536" t="s">
        <v>120</v>
      </c>
      <c r="Q25" s="547">
        <v>1</v>
      </c>
      <c r="R25" s="536" t="s">
        <v>118</v>
      </c>
      <c r="S25" s="725">
        <v>150</v>
      </c>
      <c r="T25" s="12"/>
      <c r="U25" s="536"/>
      <c r="V25" s="536"/>
      <c r="W25" s="547"/>
      <c r="X25" s="536"/>
      <c r="Y25" s="537"/>
      <c r="Z25" s="12"/>
      <c r="AA25" s="536"/>
      <c r="AB25" s="536"/>
      <c r="AC25" s="547"/>
      <c r="AD25" s="536"/>
      <c r="AE25" s="537"/>
      <c r="AF25" s="12"/>
      <c r="AG25" s="536"/>
      <c r="AH25" s="536"/>
      <c r="AI25" s="547"/>
      <c r="AJ25" s="536"/>
      <c r="AK25" s="538"/>
      <c r="AL25" s="12"/>
      <c r="AM25" s="536"/>
      <c r="AN25" s="536"/>
      <c r="AO25" s="547"/>
      <c r="AP25" s="536"/>
      <c r="AQ25" s="538"/>
      <c r="AR25" s="530"/>
    </row>
    <row r="26" spans="1:44" ht="18.75">
      <c r="A26" s="1008"/>
      <c r="B26" s="1008"/>
      <c r="C26" s="1025"/>
      <c r="D26" s="1024"/>
      <c r="E26" s="1017"/>
      <c r="F26" s="1018"/>
      <c r="G26" s="1017"/>
      <c r="H26" s="539"/>
      <c r="I26" s="312"/>
      <c r="J26" s="549"/>
      <c r="K26" s="51"/>
      <c r="L26" s="43"/>
      <c r="M26" s="320"/>
      <c r="N26" s="318"/>
      <c r="O26" s="318"/>
      <c r="P26" s="536"/>
      <c r="Q26" s="51"/>
      <c r="R26" s="43"/>
      <c r="S26" s="725"/>
      <c r="T26" s="12"/>
      <c r="U26" s="536"/>
      <c r="V26" s="536"/>
      <c r="W26" s="547"/>
      <c r="X26" s="536"/>
      <c r="Y26" s="537"/>
      <c r="Z26" s="12"/>
      <c r="AA26" s="536"/>
      <c r="AB26" s="536"/>
      <c r="AC26" s="547"/>
      <c r="AD26" s="536"/>
      <c r="AE26" s="537"/>
      <c r="AF26" s="12"/>
      <c r="AG26" s="536"/>
      <c r="AH26" s="536"/>
      <c r="AI26" s="547"/>
      <c r="AJ26" s="536"/>
      <c r="AK26" s="538"/>
      <c r="AL26" s="12"/>
      <c r="AM26" s="536"/>
      <c r="AN26" s="536"/>
      <c r="AO26" s="547"/>
      <c r="AP26" s="536"/>
      <c r="AQ26" s="538"/>
      <c r="AR26" s="530"/>
    </row>
    <row r="27" spans="1:44" ht="56.25">
      <c r="A27" s="536">
        <v>8</v>
      </c>
      <c r="B27" s="536">
        <v>736045</v>
      </c>
      <c r="C27" s="549" t="s">
        <v>129</v>
      </c>
      <c r="D27" s="547">
        <v>1.24</v>
      </c>
      <c r="E27" s="537">
        <v>13435</v>
      </c>
      <c r="F27" s="548">
        <v>1.24</v>
      </c>
      <c r="G27" s="537">
        <v>13435</v>
      </c>
      <c r="H27" s="536"/>
      <c r="I27" s="536"/>
      <c r="J27" s="549"/>
      <c r="K27" s="47"/>
      <c r="L27" s="553"/>
      <c r="M27" s="537"/>
      <c r="N27" s="549" t="s">
        <v>2861</v>
      </c>
      <c r="O27" s="549" t="s">
        <v>2862</v>
      </c>
      <c r="P27" s="536" t="s">
        <v>120</v>
      </c>
      <c r="Q27" s="547">
        <v>1</v>
      </c>
      <c r="R27" s="536" t="s">
        <v>118</v>
      </c>
      <c r="S27" s="725">
        <v>500</v>
      </c>
      <c r="T27" s="12"/>
      <c r="U27" s="536"/>
      <c r="V27" s="536"/>
      <c r="W27" s="547"/>
      <c r="X27" s="536"/>
      <c r="Y27" s="537"/>
      <c r="Z27" s="12"/>
      <c r="AA27" s="536"/>
      <c r="AB27" s="536"/>
      <c r="AC27" s="547"/>
      <c r="AD27" s="536"/>
      <c r="AE27" s="537"/>
      <c r="AF27" s="1008"/>
      <c r="AG27" s="1008"/>
      <c r="AH27" s="549"/>
      <c r="AI27" s="47"/>
      <c r="AJ27" s="553"/>
      <c r="AK27" s="538"/>
      <c r="AL27" s="12"/>
      <c r="AM27" s="536"/>
      <c r="AN27" s="536"/>
      <c r="AO27" s="547"/>
      <c r="AP27" s="536"/>
      <c r="AQ27" s="538"/>
      <c r="AR27" s="530"/>
    </row>
    <row r="28" spans="1:44" ht="56.25">
      <c r="A28" s="536">
        <v>9</v>
      </c>
      <c r="B28" s="536">
        <v>741840</v>
      </c>
      <c r="C28" s="549" t="s">
        <v>130</v>
      </c>
      <c r="D28" s="547">
        <v>1.6</v>
      </c>
      <c r="E28" s="537">
        <v>12258</v>
      </c>
      <c r="F28" s="548">
        <v>1.6</v>
      </c>
      <c r="G28" s="537">
        <v>12258</v>
      </c>
      <c r="H28" s="536"/>
      <c r="I28" s="536"/>
      <c r="J28" s="549"/>
      <c r="K28" s="47"/>
      <c r="L28" s="553"/>
      <c r="M28" s="537"/>
      <c r="N28" s="549" t="s">
        <v>2881</v>
      </c>
      <c r="O28" s="549" t="s">
        <v>2882</v>
      </c>
      <c r="P28" s="536" t="s">
        <v>93</v>
      </c>
      <c r="Q28" s="547">
        <v>1</v>
      </c>
      <c r="R28" s="536" t="s">
        <v>118</v>
      </c>
      <c r="S28" s="725">
        <v>20</v>
      </c>
      <c r="T28" s="549"/>
      <c r="U28" s="549"/>
      <c r="V28" s="549"/>
      <c r="W28" s="47"/>
      <c r="X28" s="553"/>
      <c r="Y28" s="537"/>
      <c r="Z28" s="12"/>
      <c r="AA28" s="536"/>
      <c r="AB28" s="536"/>
      <c r="AC28" s="547"/>
      <c r="AD28" s="536"/>
      <c r="AE28" s="537"/>
      <c r="AF28" s="12"/>
      <c r="AG28" s="536"/>
      <c r="AH28" s="536"/>
      <c r="AI28" s="547"/>
      <c r="AJ28" s="536"/>
      <c r="AK28" s="538"/>
      <c r="AL28" s="12"/>
      <c r="AM28" s="536"/>
      <c r="AN28" s="536"/>
      <c r="AO28" s="547"/>
      <c r="AP28" s="536"/>
      <c r="AQ28" s="538"/>
      <c r="AR28" s="530"/>
    </row>
    <row r="29" spans="1:44" ht="56.25">
      <c r="A29" s="536">
        <v>10</v>
      </c>
      <c r="B29" s="536">
        <v>741840</v>
      </c>
      <c r="C29" s="549" t="s">
        <v>131</v>
      </c>
      <c r="D29" s="547">
        <v>1.31</v>
      </c>
      <c r="E29" s="537">
        <v>13093</v>
      </c>
      <c r="F29" s="548">
        <v>1.31</v>
      </c>
      <c r="G29" s="537">
        <v>13093</v>
      </c>
      <c r="H29" s="536"/>
      <c r="I29" s="312"/>
      <c r="J29" s="536"/>
      <c r="K29" s="42"/>
      <c r="L29" s="50"/>
      <c r="M29" s="537"/>
      <c r="N29" s="538"/>
      <c r="O29" s="536"/>
      <c r="P29" s="536"/>
      <c r="Q29" s="547"/>
      <c r="R29" s="536"/>
      <c r="S29" s="725"/>
      <c r="T29" s="12"/>
      <c r="U29" s="536"/>
      <c r="V29" s="536"/>
      <c r="W29" s="547"/>
      <c r="X29" s="536"/>
      <c r="Y29" s="537"/>
      <c r="Z29" s="12"/>
      <c r="AA29" s="536"/>
      <c r="AB29" s="536"/>
      <c r="AC29" s="547"/>
      <c r="AD29" s="536"/>
      <c r="AE29" s="537"/>
      <c r="AF29" s="12"/>
      <c r="AG29" s="536"/>
      <c r="AH29" s="536" t="s">
        <v>93</v>
      </c>
      <c r="AI29" s="547">
        <v>1</v>
      </c>
      <c r="AJ29" s="536" t="s">
        <v>118</v>
      </c>
      <c r="AK29" s="537">
        <v>50</v>
      </c>
      <c r="AL29" s="12"/>
      <c r="AM29" s="536"/>
      <c r="AN29" s="536"/>
      <c r="AO29" s="547"/>
      <c r="AP29" s="536"/>
      <c r="AQ29" s="538"/>
      <c r="AR29" s="530"/>
    </row>
    <row r="30" spans="1:44" ht="56.25">
      <c r="A30" s="1008">
        <v>11</v>
      </c>
      <c r="B30" s="1008">
        <v>737882</v>
      </c>
      <c r="C30" s="1025" t="s">
        <v>132</v>
      </c>
      <c r="D30" s="1024">
        <v>1.1200000000000001</v>
      </c>
      <c r="E30" s="1017">
        <v>20366</v>
      </c>
      <c r="F30" s="1018">
        <v>1.1200000000000001</v>
      </c>
      <c r="G30" s="1017">
        <v>20366</v>
      </c>
      <c r="H30" s="536"/>
      <c r="I30" s="312"/>
      <c r="J30" s="536"/>
      <c r="K30" s="42"/>
      <c r="L30" s="50"/>
      <c r="M30" s="537"/>
      <c r="N30" s="549" t="s">
        <v>2847</v>
      </c>
      <c r="O30" s="549" t="s">
        <v>2847</v>
      </c>
      <c r="P30" s="536" t="s">
        <v>120</v>
      </c>
      <c r="Q30" s="547">
        <v>1</v>
      </c>
      <c r="R30" s="536" t="s">
        <v>118</v>
      </c>
      <c r="S30" s="725">
        <v>2500</v>
      </c>
      <c r="T30" s="12"/>
      <c r="U30" s="536"/>
      <c r="V30" s="536"/>
      <c r="W30" s="547"/>
      <c r="X30" s="536"/>
      <c r="Y30" s="537"/>
      <c r="Z30" s="12"/>
      <c r="AA30" s="536"/>
      <c r="AB30" s="536"/>
      <c r="AC30" s="547"/>
      <c r="AD30" s="536"/>
      <c r="AE30" s="537"/>
      <c r="AF30" s="12"/>
      <c r="AG30" s="536"/>
      <c r="AH30" s="536"/>
      <c r="AI30" s="547"/>
      <c r="AJ30" s="536"/>
      <c r="AK30" s="538"/>
      <c r="AL30" s="1031"/>
      <c r="AM30" s="1023"/>
      <c r="AN30" s="1023"/>
      <c r="AO30" s="547"/>
      <c r="AP30" s="553"/>
      <c r="AQ30" s="1027"/>
      <c r="AR30" s="530"/>
    </row>
    <row r="31" spans="1:44" ht="56.25">
      <c r="A31" s="1008"/>
      <c r="B31" s="1008"/>
      <c r="C31" s="1025"/>
      <c r="D31" s="1024"/>
      <c r="E31" s="1017"/>
      <c r="F31" s="1018"/>
      <c r="G31" s="1017"/>
      <c r="H31" s="536"/>
      <c r="I31" s="312"/>
      <c r="J31" s="536"/>
      <c r="K31" s="42"/>
      <c r="L31" s="50"/>
      <c r="M31" s="537"/>
      <c r="N31" s="549" t="s">
        <v>2784</v>
      </c>
      <c r="O31" s="549" t="s">
        <v>2784</v>
      </c>
      <c r="P31" s="536" t="s">
        <v>120</v>
      </c>
      <c r="Q31" s="547">
        <v>1</v>
      </c>
      <c r="R31" s="536" t="s">
        <v>118</v>
      </c>
      <c r="S31" s="725">
        <v>250</v>
      </c>
      <c r="T31" s="12"/>
      <c r="U31" s="536"/>
      <c r="V31" s="536"/>
      <c r="W31" s="547"/>
      <c r="X31" s="536"/>
      <c r="Y31" s="537"/>
      <c r="Z31" s="12"/>
      <c r="AA31" s="536"/>
      <c r="AB31" s="536"/>
      <c r="AC31" s="547"/>
      <c r="AD31" s="536"/>
      <c r="AE31" s="537"/>
      <c r="AF31" s="12"/>
      <c r="AG31" s="536"/>
      <c r="AH31" s="536"/>
      <c r="AI31" s="547"/>
      <c r="AJ31" s="536"/>
      <c r="AK31" s="538"/>
      <c r="AL31" s="1026"/>
      <c r="AM31" s="1026"/>
      <c r="AN31" s="1026"/>
      <c r="AO31" s="536"/>
      <c r="AP31" s="43"/>
      <c r="AQ31" s="1027"/>
      <c r="AR31" s="530"/>
    </row>
    <row r="32" spans="1:44" ht="18.75">
      <c r="A32" s="1008"/>
      <c r="B32" s="1008"/>
      <c r="C32" s="1025"/>
      <c r="D32" s="1024"/>
      <c r="E32" s="1017"/>
      <c r="F32" s="1018"/>
      <c r="G32" s="1017"/>
      <c r="H32" s="536"/>
      <c r="I32" s="312"/>
      <c r="J32" s="536"/>
      <c r="K32" s="42"/>
      <c r="L32" s="50"/>
      <c r="M32" s="537"/>
      <c r="N32" s="538"/>
      <c r="O32" s="536"/>
      <c r="P32" s="536"/>
      <c r="Q32" s="547"/>
      <c r="R32" s="536"/>
      <c r="S32" s="725"/>
      <c r="T32" s="12"/>
      <c r="U32" s="536"/>
      <c r="V32" s="536"/>
      <c r="W32" s="547"/>
      <c r="X32" s="536"/>
      <c r="Y32" s="537"/>
      <c r="Z32" s="12"/>
      <c r="AA32" s="536"/>
      <c r="AB32" s="536"/>
      <c r="AC32" s="547"/>
      <c r="AD32" s="536"/>
      <c r="AE32" s="537"/>
      <c r="AF32" s="12"/>
      <c r="AG32" s="536"/>
      <c r="AH32" s="536"/>
      <c r="AI32" s="547"/>
      <c r="AJ32" s="536"/>
      <c r="AK32" s="538"/>
      <c r="AL32" s="971"/>
      <c r="AM32" s="971"/>
      <c r="AN32" s="1036"/>
      <c r="AO32" s="1029"/>
      <c r="AP32" s="1037"/>
      <c r="AQ32" s="1038"/>
      <c r="AR32" s="530"/>
    </row>
    <row r="33" spans="1:44" ht="18.75">
      <c r="A33" s="1008"/>
      <c r="B33" s="1008"/>
      <c r="C33" s="1025"/>
      <c r="D33" s="1024"/>
      <c r="E33" s="1017"/>
      <c r="F33" s="1018"/>
      <c r="G33" s="1017"/>
      <c r="H33" s="536"/>
      <c r="I33" s="312"/>
      <c r="J33" s="536"/>
      <c r="K33" s="42"/>
      <c r="L33" s="50"/>
      <c r="M33" s="537"/>
      <c r="N33" s="538"/>
      <c r="O33" s="536"/>
      <c r="P33" s="536"/>
      <c r="Q33" s="547"/>
      <c r="R33" s="536"/>
      <c r="S33" s="725"/>
      <c r="T33" s="12"/>
      <c r="U33" s="536"/>
      <c r="V33" s="536"/>
      <c r="W33" s="547"/>
      <c r="X33" s="536"/>
      <c r="Y33" s="537"/>
      <c r="Z33" s="12"/>
      <c r="AA33" s="536"/>
      <c r="AB33" s="536"/>
      <c r="AC33" s="547"/>
      <c r="AD33" s="536"/>
      <c r="AE33" s="537"/>
      <c r="AF33" s="12"/>
      <c r="AG33" s="536"/>
      <c r="AH33" s="536"/>
      <c r="AI33" s="547"/>
      <c r="AJ33" s="536"/>
      <c r="AK33" s="538"/>
      <c r="AL33" s="971"/>
      <c r="AM33" s="971"/>
      <c r="AN33" s="1026"/>
      <c r="AO33" s="1029"/>
      <c r="AP33" s="1037"/>
      <c r="AQ33" s="1038"/>
      <c r="AR33" s="530"/>
    </row>
    <row r="34" spans="1:44" ht="32.25" customHeight="1">
      <c r="A34" s="1008">
        <v>12</v>
      </c>
      <c r="B34" s="1008">
        <v>738433</v>
      </c>
      <c r="C34" s="1023" t="s">
        <v>133</v>
      </c>
      <c r="D34" s="1024">
        <v>1.7</v>
      </c>
      <c r="E34" s="1017">
        <v>19937</v>
      </c>
      <c r="F34" s="1018">
        <v>1.7</v>
      </c>
      <c r="G34" s="1017">
        <v>19937</v>
      </c>
      <c r="H34" s="539"/>
      <c r="I34" s="312"/>
      <c r="J34" s="536"/>
      <c r="K34" s="42"/>
      <c r="L34" s="50"/>
      <c r="M34" s="537"/>
      <c r="N34" s="318"/>
      <c r="O34" s="549"/>
      <c r="P34" s="1008"/>
      <c r="Q34" s="547"/>
      <c r="R34" s="553"/>
      <c r="S34" s="1034"/>
      <c r="T34" s="12"/>
      <c r="U34" s="536"/>
      <c r="V34" s="536"/>
      <c r="W34" s="547"/>
      <c r="X34" s="536"/>
      <c r="Y34" s="537"/>
      <c r="Z34" s="12"/>
      <c r="AA34" s="536"/>
      <c r="AB34" s="536"/>
      <c r="AC34" s="547"/>
      <c r="AD34" s="536"/>
      <c r="AE34" s="537"/>
      <c r="AF34" s="12"/>
      <c r="AG34" s="536"/>
      <c r="AH34" s="536" t="s">
        <v>93</v>
      </c>
      <c r="AI34" s="547">
        <v>1</v>
      </c>
      <c r="AJ34" s="536" t="s">
        <v>118</v>
      </c>
      <c r="AK34" s="537">
        <v>50</v>
      </c>
      <c r="AL34" s="12"/>
      <c r="AM34" s="536"/>
      <c r="AN34" s="536"/>
      <c r="AO34" s="547"/>
      <c r="AP34" s="536"/>
      <c r="AQ34" s="538"/>
      <c r="AR34" s="530"/>
    </row>
    <row r="35" spans="1:44" ht="32.25" customHeight="1">
      <c r="A35" s="1008"/>
      <c r="B35" s="1008"/>
      <c r="C35" s="1023"/>
      <c r="D35" s="1024"/>
      <c r="E35" s="1017"/>
      <c r="F35" s="1018"/>
      <c r="G35" s="1017"/>
      <c r="H35" s="539"/>
      <c r="I35" s="312"/>
      <c r="J35" s="536"/>
      <c r="K35" s="42"/>
      <c r="L35" s="50"/>
      <c r="M35" s="537"/>
      <c r="N35" s="318"/>
      <c r="O35" s="549"/>
      <c r="P35" s="1008"/>
      <c r="Q35" s="539"/>
      <c r="R35" s="43"/>
      <c r="S35" s="1035"/>
      <c r="T35" s="12"/>
      <c r="U35" s="536"/>
      <c r="V35" s="536"/>
      <c r="W35" s="547"/>
      <c r="X35" s="536"/>
      <c r="Y35" s="537"/>
      <c r="Z35" s="12"/>
      <c r="AA35" s="536"/>
      <c r="AB35" s="536"/>
      <c r="AC35" s="547"/>
      <c r="AD35" s="536"/>
      <c r="AE35" s="537"/>
      <c r="AF35" s="12"/>
      <c r="AG35" s="536"/>
      <c r="AH35" s="536"/>
      <c r="AI35" s="547"/>
      <c r="AJ35" s="536"/>
      <c r="AK35" s="538"/>
      <c r="AL35" s="12"/>
      <c r="AM35" s="536"/>
      <c r="AN35" s="536"/>
      <c r="AO35" s="547"/>
      <c r="AP35" s="536"/>
      <c r="AQ35" s="538"/>
      <c r="AR35" s="530"/>
    </row>
    <row r="36" spans="1:44" ht="18.75">
      <c r="A36" s="1008">
        <v>13</v>
      </c>
      <c r="B36" s="1008">
        <v>2795117</v>
      </c>
      <c r="C36" s="1025" t="s">
        <v>134</v>
      </c>
      <c r="D36" s="1024">
        <f>3.84+0.12</f>
        <v>3.96</v>
      </c>
      <c r="E36" s="1017">
        <v>31435</v>
      </c>
      <c r="F36" s="1018">
        <f>3.84+0.12</f>
        <v>3.96</v>
      </c>
      <c r="G36" s="1017">
        <v>31435</v>
      </c>
      <c r="H36" s="1019" t="s">
        <v>2700</v>
      </c>
      <c r="I36" s="971" t="s">
        <v>2765</v>
      </c>
      <c r="J36" s="1020" t="s">
        <v>114</v>
      </c>
      <c r="K36" s="558">
        <v>0.12</v>
      </c>
      <c r="L36" s="553" t="s">
        <v>17</v>
      </c>
      <c r="M36" s="1017">
        <v>1291.7016000000001</v>
      </c>
      <c r="N36" s="538"/>
      <c r="O36" s="536"/>
      <c r="P36" s="536"/>
      <c r="Q36" s="547"/>
      <c r="R36" s="536"/>
      <c r="S36" s="725"/>
      <c r="T36" s="12"/>
      <c r="U36" s="536"/>
      <c r="V36" s="536"/>
      <c r="W36" s="547"/>
      <c r="X36" s="536"/>
      <c r="Y36" s="537"/>
      <c r="Z36" s="12"/>
      <c r="AA36" s="536"/>
      <c r="AB36" s="536"/>
      <c r="AC36" s="547"/>
      <c r="AD36" s="536"/>
      <c r="AE36" s="537"/>
      <c r="AF36" s="12"/>
      <c r="AG36" s="536"/>
      <c r="AH36" s="536"/>
      <c r="AI36" s="547"/>
      <c r="AJ36" s="536"/>
      <c r="AK36" s="538"/>
      <c r="AL36" s="12"/>
      <c r="AM36" s="536"/>
      <c r="AN36" s="536"/>
      <c r="AO36" s="547"/>
      <c r="AP36" s="536"/>
      <c r="AQ36" s="538"/>
      <c r="AR36" s="530"/>
    </row>
    <row r="37" spans="1:44" ht="18.75">
      <c r="A37" s="1008"/>
      <c r="B37" s="1008"/>
      <c r="C37" s="1025"/>
      <c r="D37" s="1024"/>
      <c r="E37" s="1017"/>
      <c r="F37" s="1018"/>
      <c r="G37" s="1017"/>
      <c r="H37" s="1019"/>
      <c r="I37" s="971"/>
      <c r="J37" s="1020"/>
      <c r="K37" s="51">
        <v>1115</v>
      </c>
      <c r="L37" s="43" t="s">
        <v>32</v>
      </c>
      <c r="M37" s="1017"/>
      <c r="N37" s="538"/>
      <c r="O37" s="536"/>
      <c r="P37" s="536"/>
      <c r="Q37" s="547"/>
      <c r="R37" s="536"/>
      <c r="S37" s="725"/>
      <c r="T37" s="12"/>
      <c r="U37" s="536"/>
      <c r="V37" s="536"/>
      <c r="W37" s="547"/>
      <c r="X37" s="536"/>
      <c r="Y37" s="537"/>
      <c r="Z37" s="12"/>
      <c r="AA37" s="536"/>
      <c r="AB37" s="536"/>
      <c r="AC37" s="547"/>
      <c r="AD37" s="536"/>
      <c r="AE37" s="537"/>
      <c r="AF37" s="12"/>
      <c r="AG37" s="536"/>
      <c r="AH37" s="536"/>
      <c r="AI37" s="547"/>
      <c r="AJ37" s="536"/>
      <c r="AK37" s="538"/>
      <c r="AL37" s="12"/>
      <c r="AM37" s="536"/>
      <c r="AN37" s="536"/>
      <c r="AO37" s="547"/>
      <c r="AP37" s="536"/>
      <c r="AQ37" s="538"/>
      <c r="AR37" s="530"/>
    </row>
    <row r="38" spans="1:44" ht="18.75">
      <c r="A38" s="1008"/>
      <c r="B38" s="1008"/>
      <c r="C38" s="1025"/>
      <c r="D38" s="1024"/>
      <c r="E38" s="1017"/>
      <c r="F38" s="1018"/>
      <c r="G38" s="1017"/>
      <c r="H38" s="1019" t="s">
        <v>2764</v>
      </c>
      <c r="I38" s="971" t="s">
        <v>2701</v>
      </c>
      <c r="J38" s="1020" t="s">
        <v>114</v>
      </c>
      <c r="K38" s="558">
        <v>0.37</v>
      </c>
      <c r="L38" s="553" t="s">
        <v>17</v>
      </c>
      <c r="M38" s="1017">
        <v>3899.82492</v>
      </c>
      <c r="N38" s="538"/>
      <c r="O38" s="536"/>
      <c r="P38" s="536"/>
      <c r="Q38" s="547"/>
      <c r="R38" s="536"/>
      <c r="S38" s="725"/>
      <c r="T38" s="12"/>
      <c r="U38" s="536"/>
      <c r="V38" s="536"/>
      <c r="W38" s="547"/>
      <c r="X38" s="536"/>
      <c r="Y38" s="537"/>
      <c r="Z38" s="12"/>
      <c r="AA38" s="536"/>
      <c r="AB38" s="536"/>
      <c r="AC38" s="547"/>
      <c r="AD38" s="536"/>
      <c r="AE38" s="537"/>
      <c r="AF38" s="12"/>
      <c r="AG38" s="536"/>
      <c r="AH38" s="536"/>
      <c r="AI38" s="547"/>
      <c r="AJ38" s="536"/>
      <c r="AK38" s="538"/>
      <c r="AL38" s="12"/>
      <c r="AM38" s="536"/>
      <c r="AN38" s="536"/>
      <c r="AO38" s="547"/>
      <c r="AP38" s="536"/>
      <c r="AQ38" s="538"/>
      <c r="AR38" s="530"/>
    </row>
    <row r="39" spans="1:44" ht="18.75">
      <c r="A39" s="1008"/>
      <c r="B39" s="1008"/>
      <c r="C39" s="1025"/>
      <c r="D39" s="1024"/>
      <c r="E39" s="1017"/>
      <c r="F39" s="1018"/>
      <c r="G39" s="1017"/>
      <c r="H39" s="1019"/>
      <c r="I39" s="971"/>
      <c r="J39" s="1020"/>
      <c r="K39" s="51">
        <v>3352</v>
      </c>
      <c r="L39" s="43" t="s">
        <v>32</v>
      </c>
      <c r="M39" s="1017"/>
      <c r="N39" s="538"/>
      <c r="O39" s="536"/>
      <c r="P39" s="536"/>
      <c r="Q39" s="547"/>
      <c r="R39" s="536"/>
      <c r="S39" s="725"/>
      <c r="T39" s="12"/>
      <c r="U39" s="536"/>
      <c r="V39" s="536"/>
      <c r="W39" s="547"/>
      <c r="X39" s="536"/>
      <c r="Y39" s="537"/>
      <c r="Z39" s="12"/>
      <c r="AA39" s="536"/>
      <c r="AB39" s="536"/>
      <c r="AC39" s="547"/>
      <c r="AD39" s="536"/>
      <c r="AE39" s="537"/>
      <c r="AF39" s="12"/>
      <c r="AG39" s="536"/>
      <c r="AH39" s="536"/>
      <c r="AI39" s="547"/>
      <c r="AJ39" s="536"/>
      <c r="AK39" s="538"/>
      <c r="AL39" s="12"/>
      <c r="AM39" s="536"/>
      <c r="AN39" s="536"/>
      <c r="AO39" s="547"/>
      <c r="AP39" s="536"/>
      <c r="AQ39" s="538"/>
      <c r="AR39" s="530"/>
    </row>
    <row r="40" spans="1:44" ht="18.75">
      <c r="A40" s="1008">
        <v>14</v>
      </c>
      <c r="B40" s="1008">
        <v>737857</v>
      </c>
      <c r="C40" s="1023" t="s">
        <v>135</v>
      </c>
      <c r="D40" s="1024">
        <v>1.4019999999999999</v>
      </c>
      <c r="E40" s="1017">
        <v>11500</v>
      </c>
      <c r="F40" s="1018">
        <v>1.4019999999999999</v>
      </c>
      <c r="G40" s="1017">
        <v>11500</v>
      </c>
      <c r="H40" s="539"/>
      <c r="I40" s="312"/>
      <c r="J40" s="536"/>
      <c r="K40" s="42"/>
      <c r="L40" s="50"/>
      <c r="M40" s="537"/>
      <c r="N40" s="318"/>
      <c r="O40" s="549"/>
      <c r="P40" s="1008"/>
      <c r="Q40" s="547"/>
      <c r="R40" s="553"/>
      <c r="S40" s="1034"/>
      <c r="T40" s="12"/>
      <c r="U40" s="536"/>
      <c r="V40" s="536"/>
      <c r="W40" s="547"/>
      <c r="X40" s="536"/>
      <c r="Y40" s="537"/>
      <c r="Z40" s="1032" t="s">
        <v>60</v>
      </c>
      <c r="AA40" s="1008" t="s">
        <v>2940</v>
      </c>
      <c r="AB40" s="1020" t="s">
        <v>114</v>
      </c>
      <c r="AC40" s="547">
        <v>1.4</v>
      </c>
      <c r="AD40" s="553" t="s">
        <v>17</v>
      </c>
      <c r="AE40" s="1017">
        <f>AC41*1.5</f>
        <v>17250</v>
      </c>
      <c r="AF40" s="12"/>
      <c r="AG40" s="536"/>
      <c r="AH40" s="536"/>
      <c r="AI40" s="547"/>
      <c r="AJ40" s="536"/>
      <c r="AK40" s="538"/>
      <c r="AL40" s="12"/>
      <c r="AM40" s="536"/>
      <c r="AN40" s="536"/>
      <c r="AO40" s="547"/>
      <c r="AP40" s="536"/>
      <c r="AQ40" s="538"/>
      <c r="AR40" s="530"/>
    </row>
    <row r="41" spans="1:44" ht="18.75">
      <c r="A41" s="1008"/>
      <c r="B41" s="1008"/>
      <c r="C41" s="1023"/>
      <c r="D41" s="1024"/>
      <c r="E41" s="1017"/>
      <c r="F41" s="1018"/>
      <c r="G41" s="1017"/>
      <c r="H41" s="539"/>
      <c r="I41" s="312"/>
      <c r="J41" s="536"/>
      <c r="K41" s="42"/>
      <c r="L41" s="50"/>
      <c r="M41" s="537"/>
      <c r="N41" s="318"/>
      <c r="O41" s="549"/>
      <c r="P41" s="1008"/>
      <c r="Q41" s="539"/>
      <c r="R41" s="43"/>
      <c r="S41" s="1035"/>
      <c r="T41" s="12"/>
      <c r="U41" s="536"/>
      <c r="V41" s="536"/>
      <c r="W41" s="547"/>
      <c r="X41" s="536"/>
      <c r="Y41" s="537"/>
      <c r="Z41" s="1032"/>
      <c r="AA41" s="1008"/>
      <c r="AB41" s="1020"/>
      <c r="AC41" s="536">
        <v>11500</v>
      </c>
      <c r="AD41" s="43" t="s">
        <v>32</v>
      </c>
      <c r="AE41" s="1017"/>
      <c r="AF41" s="12"/>
      <c r="AG41" s="536"/>
      <c r="AH41" s="536"/>
      <c r="AI41" s="547"/>
      <c r="AJ41" s="536"/>
      <c r="AK41" s="538"/>
      <c r="AL41" s="12"/>
      <c r="AM41" s="536"/>
      <c r="AN41" s="536"/>
      <c r="AO41" s="547"/>
      <c r="AP41" s="536"/>
      <c r="AQ41" s="538"/>
      <c r="AR41" s="530"/>
    </row>
    <row r="42" spans="1:44" ht="56.25">
      <c r="A42" s="536">
        <v>15</v>
      </c>
      <c r="B42" s="536">
        <v>737857</v>
      </c>
      <c r="C42" s="549" t="s">
        <v>136</v>
      </c>
      <c r="D42" s="547">
        <v>1.36</v>
      </c>
      <c r="E42" s="537">
        <v>14333</v>
      </c>
      <c r="F42" s="548">
        <v>1.36</v>
      </c>
      <c r="G42" s="537">
        <v>14333</v>
      </c>
      <c r="H42" s="536"/>
      <c r="I42" s="312"/>
      <c r="J42" s="536"/>
      <c r="K42" s="42"/>
      <c r="L42" s="50"/>
      <c r="M42" s="537"/>
      <c r="N42" s="538"/>
      <c r="O42" s="536"/>
      <c r="P42" s="536"/>
      <c r="Q42" s="547"/>
      <c r="R42" s="536"/>
      <c r="S42" s="725"/>
      <c r="T42" s="12"/>
      <c r="U42" s="536"/>
      <c r="V42" s="536"/>
      <c r="W42" s="547"/>
      <c r="X42" s="536"/>
      <c r="Y42" s="537"/>
      <c r="Z42" s="12"/>
      <c r="AA42" s="536"/>
      <c r="AB42" s="536"/>
      <c r="AC42" s="547"/>
      <c r="AD42" s="536"/>
      <c r="AE42" s="537"/>
      <c r="AF42" s="12"/>
      <c r="AG42" s="536"/>
      <c r="AH42" s="536"/>
      <c r="AI42" s="547"/>
      <c r="AJ42" s="536"/>
      <c r="AK42" s="538"/>
      <c r="AL42" s="12"/>
      <c r="AM42" s="536"/>
      <c r="AN42" s="536" t="s">
        <v>93</v>
      </c>
      <c r="AO42" s="547">
        <v>1</v>
      </c>
      <c r="AP42" s="536" t="s">
        <v>118</v>
      </c>
      <c r="AQ42" s="537">
        <v>50</v>
      </c>
      <c r="AR42" s="530"/>
    </row>
    <row r="43" spans="1:44" ht="75">
      <c r="A43" s="536">
        <v>16</v>
      </c>
      <c r="B43" s="536">
        <v>737857</v>
      </c>
      <c r="C43" s="549" t="s">
        <v>2785</v>
      </c>
      <c r="D43" s="547">
        <v>0.43</v>
      </c>
      <c r="E43" s="537">
        <v>4547</v>
      </c>
      <c r="F43" s="548">
        <v>0.43</v>
      </c>
      <c r="G43" s="537">
        <v>4547</v>
      </c>
      <c r="H43" s="536"/>
      <c r="I43" s="312"/>
      <c r="J43" s="536"/>
      <c r="K43" s="42"/>
      <c r="L43" s="50"/>
      <c r="M43" s="537"/>
      <c r="N43" s="538"/>
      <c r="O43" s="536"/>
      <c r="P43" s="536"/>
      <c r="Q43" s="547"/>
      <c r="R43" s="536"/>
      <c r="S43" s="725"/>
      <c r="T43" s="12"/>
      <c r="U43" s="536"/>
      <c r="V43" s="536"/>
      <c r="W43" s="547"/>
      <c r="X43" s="536"/>
      <c r="Y43" s="537"/>
      <c r="Z43" s="12"/>
      <c r="AA43" s="536"/>
      <c r="AB43" s="536"/>
      <c r="AC43" s="547"/>
      <c r="AD43" s="536"/>
      <c r="AE43" s="537"/>
      <c r="AF43" s="12"/>
      <c r="AG43" s="536"/>
      <c r="AH43" s="536" t="s">
        <v>93</v>
      </c>
      <c r="AI43" s="547">
        <v>1</v>
      </c>
      <c r="AJ43" s="536" t="s">
        <v>118</v>
      </c>
      <c r="AK43" s="537">
        <v>50</v>
      </c>
      <c r="AL43" s="12"/>
      <c r="AM43" s="536"/>
      <c r="AN43" s="536"/>
      <c r="AO43" s="547"/>
      <c r="AP43" s="536"/>
      <c r="AQ43" s="538"/>
      <c r="AR43" s="530"/>
    </row>
    <row r="44" spans="1:44" ht="56.25">
      <c r="A44" s="536">
        <v>17</v>
      </c>
      <c r="B44" s="536">
        <v>740829</v>
      </c>
      <c r="C44" s="549" t="s">
        <v>138</v>
      </c>
      <c r="D44" s="547">
        <v>0.84</v>
      </c>
      <c r="E44" s="537">
        <v>10913</v>
      </c>
      <c r="F44" s="548">
        <v>0.84</v>
      </c>
      <c r="G44" s="537">
        <v>10913</v>
      </c>
      <c r="H44" s="536"/>
      <c r="I44" s="312"/>
      <c r="J44" s="536"/>
      <c r="K44" s="42"/>
      <c r="L44" s="50"/>
      <c r="M44" s="537"/>
      <c r="N44" s="538"/>
      <c r="O44" s="536"/>
      <c r="P44" s="536"/>
      <c r="Q44" s="547"/>
      <c r="R44" s="536"/>
      <c r="S44" s="725"/>
      <c r="T44" s="12"/>
      <c r="U44" s="536"/>
      <c r="V44" s="536"/>
      <c r="W44" s="547"/>
      <c r="X44" s="536"/>
      <c r="Y44" s="537"/>
      <c r="Z44" s="12"/>
      <c r="AA44" s="536"/>
      <c r="AB44" s="536"/>
      <c r="AC44" s="547"/>
      <c r="AD44" s="536"/>
      <c r="AE44" s="537"/>
      <c r="AF44" s="12"/>
      <c r="AG44" s="536"/>
      <c r="AH44" s="536"/>
      <c r="AI44" s="547"/>
      <c r="AJ44" s="536"/>
      <c r="AK44" s="538"/>
      <c r="AL44" s="12"/>
      <c r="AM44" s="536"/>
      <c r="AN44" s="536" t="s">
        <v>93</v>
      </c>
      <c r="AO44" s="547">
        <v>1</v>
      </c>
      <c r="AP44" s="536" t="s">
        <v>118</v>
      </c>
      <c r="AQ44" s="537">
        <v>50</v>
      </c>
      <c r="AR44" s="530"/>
    </row>
    <row r="45" spans="1:44" ht="18.75">
      <c r="A45" s="1008">
        <v>18</v>
      </c>
      <c r="B45" s="1008">
        <v>740829</v>
      </c>
      <c r="C45" s="1023" t="s">
        <v>139</v>
      </c>
      <c r="D45" s="1024">
        <v>1.05</v>
      </c>
      <c r="E45" s="1017">
        <v>28880</v>
      </c>
      <c r="F45" s="1018">
        <v>1.05</v>
      </c>
      <c r="G45" s="1017">
        <v>28880</v>
      </c>
      <c r="H45" s="539"/>
      <c r="I45" s="312"/>
      <c r="J45" s="536"/>
      <c r="K45" s="42"/>
      <c r="L45" s="50"/>
      <c r="M45" s="537"/>
      <c r="N45" s="538"/>
      <c r="O45" s="536"/>
      <c r="P45" s="536"/>
      <c r="Q45" s="547"/>
      <c r="R45" s="536"/>
      <c r="S45" s="725"/>
      <c r="T45" s="12"/>
      <c r="U45" s="536"/>
      <c r="V45" s="536"/>
      <c r="W45" s="547"/>
      <c r="X45" s="536"/>
      <c r="Y45" s="537"/>
      <c r="Z45" s="1032" t="s">
        <v>60</v>
      </c>
      <c r="AA45" s="1008" t="s">
        <v>2727</v>
      </c>
      <c r="AB45" s="1020" t="s">
        <v>114</v>
      </c>
      <c r="AC45" s="547">
        <f>IF(E45="","",D45/E45*AC46)</f>
        <v>0.59197022160664814</v>
      </c>
      <c r="AD45" s="553" t="s">
        <v>17</v>
      </c>
      <c r="AE45" s="1017">
        <f>AC46*1.6</f>
        <v>26051.200000000001</v>
      </c>
      <c r="AF45" s="12"/>
      <c r="AG45" s="536"/>
      <c r="AH45" s="536"/>
      <c r="AI45" s="547"/>
      <c r="AJ45" s="536"/>
      <c r="AK45" s="538"/>
      <c r="AL45" s="12"/>
      <c r="AM45" s="536"/>
      <c r="AN45" s="536"/>
      <c r="AO45" s="547"/>
      <c r="AP45" s="536"/>
      <c r="AQ45" s="538"/>
      <c r="AR45" s="530"/>
    </row>
    <row r="46" spans="1:44" ht="18.75">
      <c r="A46" s="1008"/>
      <c r="B46" s="1008"/>
      <c r="C46" s="1023"/>
      <c r="D46" s="1024"/>
      <c r="E46" s="1017"/>
      <c r="F46" s="1018"/>
      <c r="G46" s="1017"/>
      <c r="H46" s="539"/>
      <c r="I46" s="312"/>
      <c r="J46" s="536"/>
      <c r="K46" s="42"/>
      <c r="L46" s="50"/>
      <c r="M46" s="537"/>
      <c r="N46" s="538"/>
      <c r="O46" s="536"/>
      <c r="P46" s="536"/>
      <c r="Q46" s="547"/>
      <c r="R46" s="536"/>
      <c r="S46" s="725"/>
      <c r="T46" s="12"/>
      <c r="U46" s="536"/>
      <c r="V46" s="536"/>
      <c r="W46" s="547"/>
      <c r="X46" s="536"/>
      <c r="Y46" s="537"/>
      <c r="Z46" s="1032"/>
      <c r="AA46" s="1008"/>
      <c r="AB46" s="1020"/>
      <c r="AC46" s="536">
        <v>16282</v>
      </c>
      <c r="AD46" s="43" t="s">
        <v>32</v>
      </c>
      <c r="AE46" s="1017"/>
      <c r="AF46" s="12"/>
      <c r="AG46" s="536"/>
      <c r="AH46" s="536"/>
      <c r="AI46" s="547"/>
      <c r="AJ46" s="536"/>
      <c r="AK46" s="538"/>
      <c r="AL46" s="12"/>
      <c r="AM46" s="536"/>
      <c r="AN46" s="536"/>
      <c r="AO46" s="547"/>
      <c r="AP46" s="536"/>
      <c r="AQ46" s="538"/>
      <c r="AR46" s="530"/>
    </row>
    <row r="47" spans="1:44" ht="56.25">
      <c r="A47" s="536">
        <v>19</v>
      </c>
      <c r="B47" s="536">
        <v>740829</v>
      </c>
      <c r="C47" s="549" t="s">
        <v>140</v>
      </c>
      <c r="D47" s="547">
        <v>0.32</v>
      </c>
      <c r="E47" s="537">
        <v>4664</v>
      </c>
      <c r="F47" s="548">
        <v>0.32</v>
      </c>
      <c r="G47" s="537">
        <v>4664</v>
      </c>
      <c r="H47" s="539"/>
      <c r="I47" s="312"/>
      <c r="J47" s="536"/>
      <c r="K47" s="42"/>
      <c r="L47" s="50"/>
      <c r="M47" s="537"/>
      <c r="N47" s="538"/>
      <c r="O47" s="536"/>
      <c r="P47" s="536"/>
      <c r="Q47" s="547"/>
      <c r="R47" s="536"/>
      <c r="S47" s="725"/>
      <c r="T47" s="12"/>
      <c r="U47" s="536"/>
      <c r="V47" s="536"/>
      <c r="W47" s="547"/>
      <c r="X47" s="536"/>
      <c r="Y47" s="537"/>
      <c r="Z47" s="12"/>
      <c r="AA47" s="536"/>
      <c r="AB47" s="536"/>
      <c r="AC47" s="547"/>
      <c r="AD47" s="536"/>
      <c r="AE47" s="537"/>
      <c r="AF47" s="12"/>
      <c r="AG47" s="536"/>
      <c r="AH47" s="536"/>
      <c r="AI47" s="547"/>
      <c r="AJ47" s="536"/>
      <c r="AK47" s="538"/>
      <c r="AL47" s="12"/>
      <c r="AM47" s="536"/>
      <c r="AN47" s="536" t="s">
        <v>93</v>
      </c>
      <c r="AO47" s="547">
        <v>1</v>
      </c>
      <c r="AP47" s="536" t="s">
        <v>118</v>
      </c>
      <c r="AQ47" s="537">
        <v>50</v>
      </c>
      <c r="AR47" s="530"/>
    </row>
    <row r="48" spans="1:44" ht="18.75">
      <c r="A48" s="1008">
        <v>20</v>
      </c>
      <c r="B48" s="1008">
        <v>738775</v>
      </c>
      <c r="C48" s="1023" t="s">
        <v>141</v>
      </c>
      <c r="D48" s="1024">
        <v>2.95</v>
      </c>
      <c r="E48" s="1017">
        <v>46351</v>
      </c>
      <c r="F48" s="1018">
        <v>2.95</v>
      </c>
      <c r="G48" s="1017">
        <v>46351</v>
      </c>
      <c r="H48" s="1019" t="s">
        <v>2702</v>
      </c>
      <c r="I48" s="971" t="s">
        <v>2703</v>
      </c>
      <c r="J48" s="1020" t="s">
        <v>114</v>
      </c>
      <c r="K48" s="558">
        <v>1.1399999999999999</v>
      </c>
      <c r="L48" s="553" t="s">
        <v>17</v>
      </c>
      <c r="M48" s="1017">
        <v>27118.381000000001</v>
      </c>
      <c r="N48" s="549"/>
      <c r="O48" s="549"/>
      <c r="P48" s="536"/>
      <c r="Q48" s="47"/>
      <c r="R48" s="50"/>
      <c r="S48" s="1034"/>
      <c r="T48" s="12"/>
      <c r="U48" s="536"/>
      <c r="V48" s="536"/>
      <c r="W48" s="547"/>
      <c r="X48" s="536"/>
      <c r="Y48" s="537"/>
      <c r="Z48" s="1032" t="s">
        <v>60</v>
      </c>
      <c r="AA48" s="1008" t="s">
        <v>2939</v>
      </c>
      <c r="AB48" s="1020" t="s">
        <v>114</v>
      </c>
      <c r="AC48" s="547">
        <f>IF(E48="","",D48/E48*AC49)</f>
        <v>2.4185022976850554</v>
      </c>
      <c r="AD48" s="553" t="s">
        <v>17</v>
      </c>
      <c r="AE48" s="1017">
        <f>AC49*1.6</f>
        <v>60800</v>
      </c>
      <c r="AF48" s="12"/>
      <c r="AG48" s="536"/>
      <c r="AH48" s="536"/>
      <c r="AI48" s="547"/>
      <c r="AJ48" s="536"/>
      <c r="AK48" s="538"/>
      <c r="AL48" s="12"/>
      <c r="AM48" s="536"/>
      <c r="AN48" s="536"/>
      <c r="AO48" s="547"/>
      <c r="AP48" s="536"/>
      <c r="AQ48" s="538"/>
      <c r="AR48" s="530"/>
    </row>
    <row r="49" spans="1:44" ht="18.75">
      <c r="A49" s="1008"/>
      <c r="B49" s="1008"/>
      <c r="C49" s="1023"/>
      <c r="D49" s="1024"/>
      <c r="E49" s="1017"/>
      <c r="F49" s="1018"/>
      <c r="G49" s="1017"/>
      <c r="H49" s="1019"/>
      <c r="I49" s="971"/>
      <c r="J49" s="1020"/>
      <c r="K49" s="51">
        <v>22100</v>
      </c>
      <c r="L49" s="43" t="s">
        <v>32</v>
      </c>
      <c r="M49" s="1017"/>
      <c r="N49" s="318"/>
      <c r="O49" s="549"/>
      <c r="P49" s="549"/>
      <c r="Q49" s="539"/>
      <c r="R49" s="43"/>
      <c r="S49" s="1035"/>
      <c r="T49" s="12"/>
      <c r="U49" s="536"/>
      <c r="V49" s="536"/>
      <c r="W49" s="547"/>
      <c r="X49" s="536"/>
      <c r="Y49" s="537"/>
      <c r="Z49" s="1032"/>
      <c r="AA49" s="1008"/>
      <c r="AB49" s="1020"/>
      <c r="AC49" s="536">
        <v>38000</v>
      </c>
      <c r="AD49" s="43" t="s">
        <v>32</v>
      </c>
      <c r="AE49" s="1017"/>
      <c r="AF49" s="12"/>
      <c r="AG49" s="536"/>
      <c r="AH49" s="536"/>
      <c r="AI49" s="547"/>
      <c r="AJ49" s="536"/>
      <c r="AK49" s="538"/>
      <c r="AL49" s="12"/>
      <c r="AM49" s="536"/>
      <c r="AN49" s="536"/>
      <c r="AO49" s="547"/>
      <c r="AP49" s="536"/>
      <c r="AQ49" s="538"/>
      <c r="AR49" s="530"/>
    </row>
    <row r="50" spans="1:44" ht="56.25">
      <c r="A50" s="536">
        <v>21</v>
      </c>
      <c r="B50" s="536">
        <v>742363</v>
      </c>
      <c r="C50" s="549" t="s">
        <v>142</v>
      </c>
      <c r="D50" s="547">
        <v>0.35</v>
      </c>
      <c r="E50" s="537">
        <v>3413</v>
      </c>
      <c r="F50" s="548">
        <v>0.35</v>
      </c>
      <c r="G50" s="537">
        <v>3413</v>
      </c>
      <c r="H50" s="539"/>
      <c r="I50" s="312"/>
      <c r="J50" s="536"/>
      <c r="K50" s="42"/>
      <c r="L50" s="50"/>
      <c r="M50" s="537"/>
      <c r="N50" s="538"/>
      <c r="O50" s="536"/>
      <c r="P50" s="536"/>
      <c r="Q50" s="547"/>
      <c r="R50" s="536"/>
      <c r="S50" s="725"/>
      <c r="T50" s="12"/>
      <c r="U50" s="536"/>
      <c r="V50" s="536"/>
      <c r="W50" s="547"/>
      <c r="X50" s="536"/>
      <c r="Y50" s="537"/>
      <c r="Z50" s="12"/>
      <c r="AA50" s="536"/>
      <c r="AB50" s="536"/>
      <c r="AC50" s="547"/>
      <c r="AD50" s="536"/>
      <c r="AE50" s="537"/>
      <c r="AF50" s="12"/>
      <c r="AG50" s="536"/>
      <c r="AH50" s="536" t="s">
        <v>93</v>
      </c>
      <c r="AI50" s="547">
        <v>1</v>
      </c>
      <c r="AJ50" s="536" t="s">
        <v>118</v>
      </c>
      <c r="AK50" s="537">
        <v>50</v>
      </c>
      <c r="AL50" s="12"/>
      <c r="AM50" s="536"/>
      <c r="AN50" s="536"/>
      <c r="AO50" s="547"/>
      <c r="AP50" s="536"/>
      <c r="AQ50" s="538"/>
      <c r="AR50" s="530"/>
    </row>
    <row r="51" spans="1:44" ht="18.75">
      <c r="A51" s="536">
        <v>22</v>
      </c>
      <c r="B51" s="536">
        <v>742702</v>
      </c>
      <c r="C51" s="549" t="s">
        <v>143</v>
      </c>
      <c r="D51" s="547">
        <v>0.27</v>
      </c>
      <c r="E51" s="537">
        <v>4005</v>
      </c>
      <c r="F51" s="548">
        <v>0.27</v>
      </c>
      <c r="G51" s="537">
        <v>4005</v>
      </c>
      <c r="H51" s="539"/>
      <c r="I51" s="312"/>
      <c r="J51" s="536"/>
      <c r="K51" s="42"/>
      <c r="L51" s="50"/>
      <c r="M51" s="537"/>
      <c r="N51" s="538"/>
      <c r="O51" s="536"/>
      <c r="P51" s="536"/>
      <c r="Q51" s="547"/>
      <c r="R51" s="536"/>
      <c r="S51" s="725"/>
      <c r="T51" s="12"/>
      <c r="U51" s="536"/>
      <c r="V51" s="536"/>
      <c r="W51" s="547"/>
      <c r="X51" s="536"/>
      <c r="Y51" s="537"/>
      <c r="Z51" s="12"/>
      <c r="AA51" s="536"/>
      <c r="AB51" s="536"/>
      <c r="AC51" s="547"/>
      <c r="AD51" s="536"/>
      <c r="AE51" s="537"/>
      <c r="AF51" s="12"/>
      <c r="AG51" s="536"/>
      <c r="AH51" s="536"/>
      <c r="AI51" s="547"/>
      <c r="AJ51" s="536"/>
      <c r="AK51" s="538"/>
      <c r="AL51" s="12"/>
      <c r="AM51" s="536"/>
      <c r="AN51" s="536"/>
      <c r="AO51" s="547"/>
      <c r="AP51" s="536"/>
      <c r="AQ51" s="538"/>
      <c r="AR51" s="530"/>
    </row>
    <row r="52" spans="1:44" ht="18.75">
      <c r="A52" s="1008">
        <v>23</v>
      </c>
      <c r="B52" s="1008">
        <v>739567</v>
      </c>
      <c r="C52" s="1023" t="s">
        <v>144</v>
      </c>
      <c r="D52" s="1024">
        <v>0.72</v>
      </c>
      <c r="E52" s="1017">
        <v>6724</v>
      </c>
      <c r="F52" s="1018">
        <v>0.72</v>
      </c>
      <c r="G52" s="1017">
        <v>6724</v>
      </c>
      <c r="H52" s="1019" t="s">
        <v>2704</v>
      </c>
      <c r="I52" s="971" t="s">
        <v>2705</v>
      </c>
      <c r="J52" s="1020" t="s">
        <v>114</v>
      </c>
      <c r="K52" s="558">
        <v>0.72</v>
      </c>
      <c r="L52" s="553" t="s">
        <v>17</v>
      </c>
      <c r="M52" s="1017">
        <v>7917.0608300000004</v>
      </c>
      <c r="N52" s="538"/>
      <c r="O52" s="536"/>
      <c r="P52" s="536"/>
      <c r="Q52" s="547"/>
      <c r="R52" s="536"/>
      <c r="S52" s="725"/>
      <c r="T52" s="12"/>
      <c r="U52" s="536"/>
      <c r="V52" s="536"/>
      <c r="W52" s="547"/>
      <c r="X52" s="536"/>
      <c r="Y52" s="537"/>
      <c r="Z52" s="957"/>
      <c r="AA52" s="1008"/>
      <c r="AB52" s="407"/>
      <c r="AC52" s="646"/>
      <c r="AD52" s="407"/>
      <c r="AE52" s="647"/>
      <c r="AF52" s="12"/>
      <c r="AG52" s="536"/>
      <c r="AH52" s="536"/>
      <c r="AI52" s="547"/>
      <c r="AJ52" s="536"/>
      <c r="AK52" s="538"/>
      <c r="AL52" s="12"/>
      <c r="AM52" s="536"/>
      <c r="AN52" s="536"/>
      <c r="AO52" s="547"/>
      <c r="AP52" s="536"/>
      <c r="AQ52" s="538"/>
      <c r="AR52" s="530"/>
    </row>
    <row r="53" spans="1:44" ht="18.75">
      <c r="A53" s="1008"/>
      <c r="B53" s="1008"/>
      <c r="C53" s="1023"/>
      <c r="D53" s="1024"/>
      <c r="E53" s="1017"/>
      <c r="F53" s="1018"/>
      <c r="G53" s="1017"/>
      <c r="H53" s="1019"/>
      <c r="I53" s="971"/>
      <c r="J53" s="1020"/>
      <c r="K53" s="51">
        <v>6439</v>
      </c>
      <c r="L53" s="43" t="s">
        <v>32</v>
      </c>
      <c r="M53" s="1017"/>
      <c r="N53" s="538"/>
      <c r="O53" s="536"/>
      <c r="P53" s="536"/>
      <c r="Q53" s="547"/>
      <c r="R53" s="536"/>
      <c r="S53" s="725"/>
      <c r="T53" s="12"/>
      <c r="U53" s="536"/>
      <c r="V53" s="536"/>
      <c r="W53" s="547"/>
      <c r="X53" s="536"/>
      <c r="Y53" s="537"/>
      <c r="Z53" s="957"/>
      <c r="AA53" s="1008"/>
      <c r="AB53" s="407"/>
      <c r="AC53" s="646"/>
      <c r="AD53" s="407"/>
      <c r="AE53" s="647"/>
      <c r="AF53" s="12"/>
      <c r="AG53" s="536"/>
      <c r="AH53" s="536"/>
      <c r="AI53" s="547"/>
      <c r="AJ53" s="536"/>
      <c r="AK53" s="538"/>
      <c r="AL53" s="12"/>
      <c r="AM53" s="536"/>
      <c r="AN53" s="536"/>
      <c r="AO53" s="547"/>
      <c r="AP53" s="536"/>
      <c r="AQ53" s="538"/>
      <c r="AR53" s="530"/>
    </row>
    <row r="54" spans="1:44" ht="56.25">
      <c r="A54" s="536">
        <v>24</v>
      </c>
      <c r="B54" s="536">
        <v>739567</v>
      </c>
      <c r="C54" s="549" t="s">
        <v>145</v>
      </c>
      <c r="D54" s="547">
        <v>0.5</v>
      </c>
      <c r="E54" s="537">
        <v>5326</v>
      </c>
      <c r="F54" s="548">
        <v>0.5</v>
      </c>
      <c r="G54" s="537">
        <v>5326</v>
      </c>
      <c r="H54" s="539"/>
      <c r="I54" s="312"/>
      <c r="J54" s="536"/>
      <c r="K54" s="42"/>
      <c r="L54" s="50"/>
      <c r="M54" s="537"/>
      <c r="N54" s="538"/>
      <c r="O54" s="536"/>
      <c r="P54" s="536"/>
      <c r="Q54" s="547"/>
      <c r="R54" s="536"/>
      <c r="S54" s="725"/>
      <c r="T54" s="12"/>
      <c r="U54" s="536"/>
      <c r="V54" s="536"/>
      <c r="W54" s="547"/>
      <c r="X54" s="536"/>
      <c r="Y54" s="537"/>
      <c r="Z54" s="12"/>
      <c r="AA54" s="536"/>
      <c r="AB54" s="536"/>
      <c r="AC54" s="547"/>
      <c r="AD54" s="536"/>
      <c r="AE54" s="537"/>
      <c r="AF54" s="12"/>
      <c r="AG54" s="536"/>
      <c r="AH54" s="536"/>
      <c r="AI54" s="547"/>
      <c r="AJ54" s="536"/>
      <c r="AK54" s="538"/>
      <c r="AL54" s="12"/>
      <c r="AM54" s="536"/>
      <c r="AN54" s="536" t="s">
        <v>93</v>
      </c>
      <c r="AO54" s="547">
        <v>1</v>
      </c>
      <c r="AP54" s="536" t="s">
        <v>118</v>
      </c>
      <c r="AQ54" s="537">
        <v>50</v>
      </c>
      <c r="AR54" s="530"/>
    </row>
    <row r="55" spans="1:44" ht="18.75">
      <c r="A55" s="1008">
        <v>25</v>
      </c>
      <c r="B55" s="1008">
        <v>736828</v>
      </c>
      <c r="C55" s="1023" t="s">
        <v>146</v>
      </c>
      <c r="D55" s="1024">
        <v>0.73</v>
      </c>
      <c r="E55" s="1017">
        <v>12381</v>
      </c>
      <c r="F55" s="1018">
        <v>0.73</v>
      </c>
      <c r="G55" s="1017">
        <v>12381</v>
      </c>
      <c r="H55" s="539"/>
      <c r="I55" s="312"/>
      <c r="J55" s="536"/>
      <c r="K55" s="42"/>
      <c r="L55" s="50"/>
      <c r="M55" s="537"/>
      <c r="N55" s="903" t="s">
        <v>1280</v>
      </c>
      <c r="O55" s="903" t="s">
        <v>2848</v>
      </c>
      <c r="P55" s="1020" t="s">
        <v>114</v>
      </c>
      <c r="Q55" s="547">
        <f>Q56*F55/G55</f>
        <v>0.47169049349810194</v>
      </c>
      <c r="R55" s="553" t="s">
        <v>17</v>
      </c>
      <c r="S55" s="1034">
        <v>10184.77</v>
      </c>
      <c r="T55" s="12"/>
      <c r="U55" s="536"/>
      <c r="V55" s="536"/>
      <c r="W55" s="547"/>
      <c r="X55" s="536"/>
      <c r="Y55" s="537"/>
      <c r="Z55" s="957"/>
      <c r="AA55" s="1008"/>
      <c r="AB55" s="407"/>
      <c r="AC55" s="646"/>
      <c r="AD55" s="407"/>
      <c r="AE55" s="647"/>
      <c r="AF55" s="12"/>
      <c r="AG55" s="536"/>
      <c r="AH55" s="536"/>
      <c r="AI55" s="547"/>
      <c r="AJ55" s="536"/>
      <c r="AK55" s="538"/>
      <c r="AL55" s="957"/>
      <c r="AM55" s="957"/>
      <c r="AN55" s="549"/>
      <c r="AO55" s="47"/>
      <c r="AP55" s="553"/>
      <c r="AQ55" s="538"/>
      <c r="AR55" s="530"/>
    </row>
    <row r="56" spans="1:44" ht="18.75">
      <c r="A56" s="1008"/>
      <c r="B56" s="1008"/>
      <c r="C56" s="1023"/>
      <c r="D56" s="1024"/>
      <c r="E56" s="1017"/>
      <c r="F56" s="1018"/>
      <c r="G56" s="1017"/>
      <c r="H56" s="539"/>
      <c r="I56" s="312"/>
      <c r="J56" s="536"/>
      <c r="K56" s="42"/>
      <c r="L56" s="50"/>
      <c r="M56" s="537"/>
      <c r="N56" s="903"/>
      <c r="O56" s="903"/>
      <c r="P56" s="1020"/>
      <c r="Q56" s="539">
        <v>8000</v>
      </c>
      <c r="R56" s="43" t="s">
        <v>32</v>
      </c>
      <c r="S56" s="1035"/>
      <c r="T56" s="12"/>
      <c r="U56" s="536"/>
      <c r="V56" s="536"/>
      <c r="W56" s="547"/>
      <c r="X56" s="536"/>
      <c r="Y56" s="537"/>
      <c r="Z56" s="957"/>
      <c r="AA56" s="1008"/>
      <c r="AB56" s="407"/>
      <c r="AC56" s="646"/>
      <c r="AD56" s="407"/>
      <c r="AE56" s="647"/>
      <c r="AF56" s="12"/>
      <c r="AG56" s="536"/>
      <c r="AH56" s="536"/>
      <c r="AI56" s="547"/>
      <c r="AJ56" s="536"/>
      <c r="AK56" s="538"/>
      <c r="AL56" s="12"/>
      <c r="AM56" s="536"/>
      <c r="AN56" s="536"/>
      <c r="AO56" s="547"/>
      <c r="AP56" s="536"/>
      <c r="AQ56" s="538"/>
      <c r="AR56" s="530"/>
    </row>
    <row r="57" spans="1:44" ht="18.75">
      <c r="A57" s="1008">
        <v>26</v>
      </c>
      <c r="B57" s="1008">
        <v>2795187</v>
      </c>
      <c r="C57" s="1023" t="s">
        <v>147</v>
      </c>
      <c r="D57" s="1024">
        <v>2.17</v>
      </c>
      <c r="E57" s="1017">
        <v>27572</v>
      </c>
      <c r="F57" s="1018">
        <v>2.17</v>
      </c>
      <c r="G57" s="1017">
        <v>27572</v>
      </c>
      <c r="H57" s="539"/>
      <c r="I57" s="312"/>
      <c r="J57" s="536"/>
      <c r="K57" s="42"/>
      <c r="L57" s="50"/>
      <c r="M57" s="537"/>
      <c r="N57" s="538"/>
      <c r="O57" s="536"/>
      <c r="P57" s="536"/>
      <c r="Q57" s="547"/>
      <c r="R57" s="536"/>
      <c r="S57" s="725"/>
      <c r="T57" s="12"/>
      <c r="U57" s="536"/>
      <c r="V57" s="536"/>
      <c r="W57" s="547"/>
      <c r="X57" s="536"/>
      <c r="Y57" s="537"/>
      <c r="Z57" s="1032" t="s">
        <v>60</v>
      </c>
      <c r="AA57" s="1008" t="s">
        <v>2938</v>
      </c>
      <c r="AB57" s="1020" t="s">
        <v>114</v>
      </c>
      <c r="AC57" s="547">
        <f>IF(E57="","",D57/E57*AC58)</f>
        <v>0.63190664442187716</v>
      </c>
      <c r="AD57" s="553" t="s">
        <v>17</v>
      </c>
      <c r="AE57" s="1017">
        <f>AC58*1.6</f>
        <v>12846.400000000001</v>
      </c>
      <c r="AF57" s="12"/>
      <c r="AG57" s="536"/>
      <c r="AH57" s="536"/>
      <c r="AI57" s="547"/>
      <c r="AJ57" s="536"/>
      <c r="AK57" s="538"/>
      <c r="AL57" s="12"/>
      <c r="AM57" s="536"/>
      <c r="AN57" s="536"/>
      <c r="AO57" s="547"/>
      <c r="AP57" s="536"/>
      <c r="AQ57" s="538"/>
      <c r="AR57" s="530"/>
    </row>
    <row r="58" spans="1:44" ht="18.75">
      <c r="A58" s="1008"/>
      <c r="B58" s="1008"/>
      <c r="C58" s="1023"/>
      <c r="D58" s="1024"/>
      <c r="E58" s="1017"/>
      <c r="F58" s="1018"/>
      <c r="G58" s="1017"/>
      <c r="H58" s="539"/>
      <c r="I58" s="312"/>
      <c r="J58" s="536"/>
      <c r="K58" s="42"/>
      <c r="L58" s="50"/>
      <c r="M58" s="537"/>
      <c r="N58" s="538"/>
      <c r="O58" s="536"/>
      <c r="P58" s="536"/>
      <c r="Q58" s="547"/>
      <c r="R58" s="536"/>
      <c r="S58" s="725"/>
      <c r="T58" s="12"/>
      <c r="U58" s="536"/>
      <c r="V58" s="536"/>
      <c r="W58" s="547"/>
      <c r="X58" s="536"/>
      <c r="Y58" s="537"/>
      <c r="Z58" s="1032"/>
      <c r="AA58" s="1008"/>
      <c r="AB58" s="1020"/>
      <c r="AC58" s="536">
        <v>8029</v>
      </c>
      <c r="AD58" s="43" t="s">
        <v>32</v>
      </c>
      <c r="AE58" s="1017"/>
      <c r="AF58" s="12"/>
      <c r="AG58" s="536"/>
      <c r="AH58" s="536"/>
      <c r="AI58" s="547"/>
      <c r="AJ58" s="536"/>
      <c r="AK58" s="538"/>
      <c r="AL58" s="12"/>
      <c r="AM58" s="536"/>
      <c r="AN58" s="536"/>
      <c r="AO58" s="547"/>
      <c r="AP58" s="536"/>
      <c r="AQ58" s="538"/>
      <c r="AR58" s="530"/>
    </row>
    <row r="59" spans="1:44" ht="56.25">
      <c r="A59" s="536">
        <v>27</v>
      </c>
      <c r="B59" s="536">
        <v>736720</v>
      </c>
      <c r="C59" s="549" t="s">
        <v>2786</v>
      </c>
      <c r="D59" s="547">
        <v>1.45</v>
      </c>
      <c r="E59" s="537">
        <v>13583</v>
      </c>
      <c r="F59" s="548">
        <v>1.45</v>
      </c>
      <c r="G59" s="537">
        <v>13583</v>
      </c>
      <c r="H59" s="536"/>
      <c r="I59" s="312"/>
      <c r="J59" s="536"/>
      <c r="K59" s="42"/>
      <c r="L59" s="50"/>
      <c r="M59" s="537"/>
      <c r="N59" s="538"/>
      <c r="O59" s="536"/>
      <c r="P59" s="536"/>
      <c r="Q59" s="547"/>
      <c r="R59" s="536"/>
      <c r="S59" s="725"/>
      <c r="T59" s="12"/>
      <c r="U59" s="536"/>
      <c r="V59" s="536"/>
      <c r="W59" s="547"/>
      <c r="X59" s="536"/>
      <c r="Y59" s="537"/>
      <c r="Z59" s="12"/>
      <c r="AA59" s="536"/>
      <c r="AB59" s="536"/>
      <c r="AC59" s="547"/>
      <c r="AD59" s="536"/>
      <c r="AE59" s="537"/>
      <c r="AF59" s="12"/>
      <c r="AG59" s="536"/>
      <c r="AH59" s="536" t="s">
        <v>93</v>
      </c>
      <c r="AI59" s="547">
        <v>1</v>
      </c>
      <c r="AJ59" s="536" t="s">
        <v>118</v>
      </c>
      <c r="AK59" s="537">
        <v>50</v>
      </c>
      <c r="AL59" s="12"/>
      <c r="AM59" s="536"/>
      <c r="AN59" s="536"/>
      <c r="AO59" s="547"/>
      <c r="AP59" s="536"/>
      <c r="AQ59" s="538"/>
      <c r="AR59" s="530"/>
    </row>
    <row r="60" spans="1:44" ht="18.75">
      <c r="A60" s="1008">
        <v>28</v>
      </c>
      <c r="B60" s="1008">
        <v>740244</v>
      </c>
      <c r="C60" s="1023" t="s">
        <v>149</v>
      </c>
      <c r="D60" s="1024">
        <v>1.72</v>
      </c>
      <c r="E60" s="1017">
        <v>17544</v>
      </c>
      <c r="F60" s="1018">
        <v>1.72</v>
      </c>
      <c r="G60" s="1017">
        <v>17544</v>
      </c>
      <c r="H60" s="539"/>
      <c r="I60" s="539"/>
      <c r="J60" s="536"/>
      <c r="K60" s="42"/>
      <c r="L60" s="52"/>
      <c r="M60" s="537"/>
      <c r="N60" s="318"/>
      <c r="O60" s="549"/>
      <c r="P60" s="1008"/>
      <c r="Q60" s="547"/>
      <c r="R60" s="553"/>
      <c r="S60" s="1034"/>
      <c r="T60" s="12"/>
      <c r="U60" s="536"/>
      <c r="V60" s="536"/>
      <c r="W60" s="547"/>
      <c r="X60" s="536"/>
      <c r="Y60" s="537"/>
      <c r="Z60" s="957" t="s">
        <v>60</v>
      </c>
      <c r="AA60" s="1008" t="s">
        <v>2736</v>
      </c>
      <c r="AB60" s="1020" t="s">
        <v>114</v>
      </c>
      <c r="AC60" s="547">
        <v>1.7</v>
      </c>
      <c r="AD60" s="553" t="s">
        <v>17</v>
      </c>
      <c r="AE60" s="1017">
        <f>AC61*1.4</f>
        <v>24561.599999999999</v>
      </c>
      <c r="AF60" s="12"/>
      <c r="AG60" s="536"/>
      <c r="AH60" s="536"/>
      <c r="AI60" s="547"/>
      <c r="AJ60" s="536"/>
      <c r="AK60" s="538"/>
      <c r="AL60" s="49"/>
      <c r="AM60" s="49"/>
      <c r="AN60" s="536"/>
      <c r="AO60" s="558"/>
      <c r="AP60" s="52"/>
      <c r="AQ60" s="538"/>
      <c r="AR60" s="530"/>
    </row>
    <row r="61" spans="1:44" ht="18.75">
      <c r="A61" s="1008"/>
      <c r="B61" s="1008"/>
      <c r="C61" s="1023"/>
      <c r="D61" s="1024"/>
      <c r="E61" s="1017"/>
      <c r="F61" s="1018"/>
      <c r="G61" s="1017"/>
      <c r="H61" s="539"/>
      <c r="I61" s="312"/>
      <c r="J61" s="536"/>
      <c r="K61" s="42"/>
      <c r="L61" s="50"/>
      <c r="M61" s="537"/>
      <c r="N61" s="318"/>
      <c r="O61" s="549"/>
      <c r="P61" s="1008"/>
      <c r="Q61" s="539"/>
      <c r="R61" s="43"/>
      <c r="S61" s="1035"/>
      <c r="T61" s="12"/>
      <c r="U61" s="536"/>
      <c r="V61" s="536"/>
      <c r="W61" s="547"/>
      <c r="X61" s="536"/>
      <c r="Y61" s="537"/>
      <c r="Z61" s="957"/>
      <c r="AA61" s="1008"/>
      <c r="AB61" s="1020"/>
      <c r="AC61" s="536">
        <v>17544</v>
      </c>
      <c r="AD61" s="43" t="s">
        <v>32</v>
      </c>
      <c r="AE61" s="1017"/>
      <c r="AF61" s="12"/>
      <c r="AG61" s="536"/>
      <c r="AH61" s="536"/>
      <c r="AI61" s="547"/>
      <c r="AJ61" s="536"/>
      <c r="AK61" s="538"/>
      <c r="AL61" s="12"/>
      <c r="AM61" s="536"/>
      <c r="AN61" s="536"/>
      <c r="AO61" s="547"/>
      <c r="AP61" s="536"/>
      <c r="AQ61" s="538"/>
      <c r="AR61" s="530"/>
    </row>
    <row r="62" spans="1:44" ht="56.25">
      <c r="A62" s="536">
        <v>29</v>
      </c>
      <c r="B62" s="536">
        <v>749939</v>
      </c>
      <c r="C62" s="549" t="s">
        <v>2787</v>
      </c>
      <c r="D62" s="547">
        <v>0.8</v>
      </c>
      <c r="E62" s="537">
        <v>19950</v>
      </c>
      <c r="F62" s="548">
        <v>0.8</v>
      </c>
      <c r="G62" s="537">
        <v>19950</v>
      </c>
      <c r="H62" s="536"/>
      <c r="I62" s="312"/>
      <c r="J62" s="536"/>
      <c r="K62" s="42"/>
      <c r="L62" s="50"/>
      <c r="M62" s="537"/>
      <c r="N62" s="538" t="s">
        <v>2770</v>
      </c>
      <c r="O62" s="538" t="s">
        <v>2770</v>
      </c>
      <c r="P62" s="536" t="s">
        <v>120</v>
      </c>
      <c r="Q62" s="547">
        <v>1</v>
      </c>
      <c r="R62" s="536" t="s">
        <v>118</v>
      </c>
      <c r="S62" s="725">
        <v>500</v>
      </c>
      <c r="T62" s="12"/>
      <c r="U62" s="536"/>
      <c r="V62" s="536"/>
      <c r="W62" s="547"/>
      <c r="X62" s="536"/>
      <c r="Y62" s="537"/>
      <c r="Z62" s="12"/>
      <c r="AA62" s="536"/>
      <c r="AB62" s="536"/>
      <c r="AC62" s="547"/>
      <c r="AD62" s="536"/>
      <c r="AE62" s="537"/>
      <c r="AF62" s="12"/>
      <c r="AG62" s="536"/>
      <c r="AH62" s="536"/>
      <c r="AI62" s="547"/>
      <c r="AJ62" s="536"/>
      <c r="AK62" s="538"/>
      <c r="AL62" s="12"/>
      <c r="AM62" s="536"/>
      <c r="AN62" s="536"/>
      <c r="AO62" s="547"/>
      <c r="AP62" s="536"/>
      <c r="AQ62" s="538"/>
      <c r="AR62" s="530"/>
    </row>
    <row r="63" spans="1:44" ht="52.5" customHeight="1">
      <c r="A63" s="1008">
        <v>30</v>
      </c>
      <c r="B63" s="1008">
        <v>737882</v>
      </c>
      <c r="C63" s="1023" t="s">
        <v>151</v>
      </c>
      <c r="D63" s="1024">
        <v>0.75</v>
      </c>
      <c r="E63" s="1017">
        <v>19377</v>
      </c>
      <c r="F63" s="1018">
        <v>0.75</v>
      </c>
      <c r="G63" s="1017">
        <v>19377</v>
      </c>
      <c r="H63" s="1019" t="s">
        <v>60</v>
      </c>
      <c r="I63" s="971" t="s">
        <v>2706</v>
      </c>
      <c r="J63" s="1020" t="s">
        <v>114</v>
      </c>
      <c r="K63" s="558">
        <v>0.75</v>
      </c>
      <c r="L63" s="553" t="s">
        <v>17</v>
      </c>
      <c r="M63" s="1017">
        <v>21405.266469999999</v>
      </c>
      <c r="N63" s="538" t="s">
        <v>2788</v>
      </c>
      <c r="O63" s="538" t="s">
        <v>2789</v>
      </c>
      <c r="P63" s="536" t="s">
        <v>120</v>
      </c>
      <c r="Q63" s="547">
        <v>1</v>
      </c>
      <c r="R63" s="536" t="s">
        <v>118</v>
      </c>
      <c r="S63" s="725">
        <v>900</v>
      </c>
      <c r="T63" s="12"/>
      <c r="U63" s="536"/>
      <c r="V63" s="536"/>
      <c r="W63" s="547"/>
      <c r="X63" s="536"/>
      <c r="Y63" s="537"/>
      <c r="Z63" s="12"/>
      <c r="AA63" s="536"/>
      <c r="AB63" s="536"/>
      <c r="AC63" s="547"/>
      <c r="AD63" s="536"/>
      <c r="AE63" s="537"/>
      <c r="AF63" s="12"/>
      <c r="AG63" s="536"/>
      <c r="AH63" s="536"/>
      <c r="AI63" s="547"/>
      <c r="AJ63" s="536"/>
      <c r="AK63" s="538"/>
      <c r="AL63" s="12"/>
      <c r="AM63" s="536"/>
      <c r="AN63" s="536"/>
      <c r="AO63" s="547"/>
      <c r="AP63" s="536"/>
      <c r="AQ63" s="538"/>
      <c r="AR63" s="530"/>
    </row>
    <row r="64" spans="1:44" ht="52.5" customHeight="1">
      <c r="A64" s="1008"/>
      <c r="B64" s="1008"/>
      <c r="C64" s="1023"/>
      <c r="D64" s="1024"/>
      <c r="E64" s="1017"/>
      <c r="F64" s="1018"/>
      <c r="G64" s="1017"/>
      <c r="H64" s="1019"/>
      <c r="I64" s="971"/>
      <c r="J64" s="1020"/>
      <c r="K64" s="51">
        <v>17439.3</v>
      </c>
      <c r="L64" s="43" t="s">
        <v>32</v>
      </c>
      <c r="M64" s="1017"/>
      <c r="N64" s="538"/>
      <c r="O64" s="536"/>
      <c r="P64" s="536"/>
      <c r="Q64" s="547"/>
      <c r="R64" s="536"/>
      <c r="S64" s="725"/>
      <c r="T64" s="12"/>
      <c r="U64" s="536"/>
      <c r="V64" s="536"/>
      <c r="W64" s="547"/>
      <c r="X64" s="536"/>
      <c r="Y64" s="537"/>
      <c r="Z64" s="12"/>
      <c r="AA64" s="536"/>
      <c r="AB64" s="536"/>
      <c r="AC64" s="547"/>
      <c r="AD64" s="536"/>
      <c r="AE64" s="537"/>
      <c r="AF64" s="12"/>
      <c r="AG64" s="536"/>
      <c r="AH64" s="536"/>
      <c r="AI64" s="547"/>
      <c r="AJ64" s="536"/>
      <c r="AK64" s="538"/>
      <c r="AL64" s="12"/>
      <c r="AM64" s="536"/>
      <c r="AN64" s="536"/>
      <c r="AO64" s="547"/>
      <c r="AP64" s="536"/>
      <c r="AQ64" s="538"/>
      <c r="AR64" s="530"/>
    </row>
    <row r="65" spans="1:44" ht="56.25">
      <c r="A65" s="536">
        <v>31</v>
      </c>
      <c r="B65" s="536">
        <v>737882</v>
      </c>
      <c r="C65" s="549" t="s">
        <v>152</v>
      </c>
      <c r="D65" s="547">
        <v>0.92</v>
      </c>
      <c r="E65" s="537">
        <v>23737</v>
      </c>
      <c r="F65" s="548">
        <v>0.92</v>
      </c>
      <c r="G65" s="537">
        <v>23737</v>
      </c>
      <c r="H65" s="536"/>
      <c r="I65" s="536"/>
      <c r="J65" s="536"/>
      <c r="K65" s="47"/>
      <c r="L65" s="52"/>
      <c r="M65" s="537"/>
      <c r="N65" s="549"/>
      <c r="O65" s="549"/>
      <c r="P65" s="536"/>
      <c r="Q65" s="47"/>
      <c r="R65" s="52"/>
      <c r="S65" s="725"/>
      <c r="T65" s="1008"/>
      <c r="U65" s="1008"/>
      <c r="V65" s="536"/>
      <c r="W65" s="47"/>
      <c r="X65" s="52"/>
      <c r="Y65" s="537"/>
      <c r="Z65" s="1039"/>
      <c r="AA65" s="1039"/>
      <c r="AB65" s="555"/>
      <c r="AC65" s="556"/>
      <c r="AD65" s="555"/>
      <c r="AE65" s="557"/>
      <c r="AF65" s="12"/>
      <c r="AG65" s="536"/>
      <c r="AH65" s="536"/>
      <c r="AI65" s="547"/>
      <c r="AJ65" s="536"/>
      <c r="AK65" s="538"/>
      <c r="AL65" s="12"/>
      <c r="AM65" s="536"/>
      <c r="AN65" s="536" t="s">
        <v>93</v>
      </c>
      <c r="AO65" s="547">
        <v>1</v>
      </c>
      <c r="AP65" s="536" t="s">
        <v>118</v>
      </c>
      <c r="AQ65" s="537">
        <v>50</v>
      </c>
      <c r="AR65" s="530"/>
    </row>
    <row r="66" spans="1:44" ht="56.25">
      <c r="A66" s="536">
        <v>32</v>
      </c>
      <c r="B66" s="536">
        <v>736059</v>
      </c>
      <c r="C66" s="549" t="s">
        <v>153</v>
      </c>
      <c r="D66" s="547">
        <v>0.1</v>
      </c>
      <c r="E66" s="537">
        <v>924</v>
      </c>
      <c r="F66" s="548">
        <v>0.1</v>
      </c>
      <c r="G66" s="537">
        <v>924</v>
      </c>
      <c r="H66" s="536"/>
      <c r="I66" s="312"/>
      <c r="J66" s="536"/>
      <c r="K66" s="42"/>
      <c r="L66" s="50"/>
      <c r="M66" s="537"/>
      <c r="N66" s="538"/>
      <c r="O66" s="536"/>
      <c r="P66" s="536"/>
      <c r="Q66" s="547"/>
      <c r="R66" s="536"/>
      <c r="S66" s="725"/>
      <c r="T66" s="12"/>
      <c r="U66" s="536"/>
      <c r="V66" s="536"/>
      <c r="W66" s="547"/>
      <c r="X66" s="536"/>
      <c r="Y66" s="537"/>
      <c r="Z66" s="12"/>
      <c r="AA66" s="536"/>
      <c r="AB66" s="536"/>
      <c r="AC66" s="547"/>
      <c r="AD66" s="536"/>
      <c r="AE66" s="537"/>
      <c r="AF66" s="12"/>
      <c r="AG66" s="536"/>
      <c r="AH66" s="536"/>
      <c r="AI66" s="547"/>
      <c r="AJ66" s="536"/>
      <c r="AK66" s="538"/>
      <c r="AL66" s="12"/>
      <c r="AM66" s="536"/>
      <c r="AN66" s="536" t="s">
        <v>93</v>
      </c>
      <c r="AO66" s="547">
        <v>1</v>
      </c>
      <c r="AP66" s="536" t="s">
        <v>118</v>
      </c>
      <c r="AQ66" s="537">
        <v>50</v>
      </c>
      <c r="AR66" s="530"/>
    </row>
    <row r="67" spans="1:44" ht="56.25">
      <c r="A67" s="1008">
        <v>33</v>
      </c>
      <c r="B67" s="1008">
        <v>737844</v>
      </c>
      <c r="C67" s="1023" t="s">
        <v>2790</v>
      </c>
      <c r="D67" s="1024">
        <v>0.15</v>
      </c>
      <c r="E67" s="1017">
        <v>1398</v>
      </c>
      <c r="F67" s="1018">
        <v>0.15</v>
      </c>
      <c r="G67" s="1017">
        <v>1398</v>
      </c>
      <c r="H67" s="539"/>
      <c r="I67" s="312"/>
      <c r="J67" s="536"/>
      <c r="K67" s="42"/>
      <c r="L67" s="50"/>
      <c r="M67" s="537"/>
      <c r="N67" s="318"/>
      <c r="O67" s="549"/>
      <c r="P67" s="1008"/>
      <c r="Q67" s="547"/>
      <c r="R67" s="553"/>
      <c r="S67" s="1034"/>
      <c r="T67" s="12"/>
      <c r="U67" s="536"/>
      <c r="V67" s="536"/>
      <c r="W67" s="547"/>
      <c r="X67" s="536"/>
      <c r="Y67" s="537"/>
      <c r="Z67" s="12"/>
      <c r="AA67" s="536"/>
      <c r="AB67" s="536"/>
      <c r="AC67" s="547"/>
      <c r="AD67" s="536"/>
      <c r="AE67" s="537"/>
      <c r="AF67" s="12"/>
      <c r="AG67" s="536"/>
      <c r="AH67" s="536" t="s">
        <v>93</v>
      </c>
      <c r="AI67" s="547">
        <v>1</v>
      </c>
      <c r="AJ67" s="536" t="s">
        <v>118</v>
      </c>
      <c r="AK67" s="537">
        <v>50</v>
      </c>
      <c r="AL67" s="12"/>
      <c r="AM67" s="536"/>
      <c r="AN67" s="536"/>
      <c r="AO67" s="547"/>
      <c r="AP67" s="536"/>
      <c r="AQ67" s="538"/>
      <c r="AR67" s="530"/>
    </row>
    <row r="68" spans="1:44" ht="56.25">
      <c r="A68" s="1008"/>
      <c r="B68" s="1008"/>
      <c r="C68" s="1023"/>
      <c r="D68" s="1024"/>
      <c r="E68" s="1017"/>
      <c r="F68" s="1018"/>
      <c r="G68" s="1017"/>
      <c r="H68" s="539"/>
      <c r="I68" s="312"/>
      <c r="J68" s="536"/>
      <c r="K68" s="42"/>
      <c r="L68" s="50"/>
      <c r="M68" s="537"/>
      <c r="N68" s="318"/>
      <c r="O68" s="549"/>
      <c r="P68" s="1008"/>
      <c r="Q68" s="539"/>
      <c r="R68" s="43"/>
      <c r="S68" s="1035"/>
      <c r="T68" s="12"/>
      <c r="U68" s="536"/>
      <c r="V68" s="536"/>
      <c r="W68" s="547"/>
      <c r="X68" s="536"/>
      <c r="Y68" s="537"/>
      <c r="Z68" s="12"/>
      <c r="AA68" s="536"/>
      <c r="AB68" s="536"/>
      <c r="AC68" s="547"/>
      <c r="AD68" s="536"/>
      <c r="AE68" s="537"/>
      <c r="AF68" s="12"/>
      <c r="AG68" s="536"/>
      <c r="AH68" s="536" t="s">
        <v>93</v>
      </c>
      <c r="AI68" s="547">
        <v>1</v>
      </c>
      <c r="AJ68" s="536" t="s">
        <v>118</v>
      </c>
      <c r="AK68" s="537">
        <v>50</v>
      </c>
      <c r="AL68" s="12"/>
      <c r="AM68" s="536"/>
      <c r="AN68" s="536"/>
      <c r="AO68" s="547"/>
      <c r="AP68" s="536"/>
      <c r="AQ68" s="538"/>
      <c r="AR68" s="530"/>
    </row>
    <row r="69" spans="1:44" ht="18.75" customHeight="1">
      <c r="A69" s="1008">
        <v>34</v>
      </c>
      <c r="B69" s="1008">
        <v>740520</v>
      </c>
      <c r="C69" s="1023" t="s">
        <v>155</v>
      </c>
      <c r="D69" s="1024">
        <v>1.7450000000000001</v>
      </c>
      <c r="E69" s="1017">
        <v>19478</v>
      </c>
      <c r="F69" s="1018">
        <v>1.7450000000000001</v>
      </c>
      <c r="G69" s="1017">
        <v>19478</v>
      </c>
      <c r="H69" s="539"/>
      <c r="I69" s="539"/>
      <c r="J69" s="536"/>
      <c r="K69" s="47"/>
      <c r="L69" s="52"/>
      <c r="M69" s="537"/>
      <c r="N69" s="903" t="s">
        <v>1280</v>
      </c>
      <c r="O69" s="903" t="s">
        <v>2885</v>
      </c>
      <c r="P69" s="1020" t="s">
        <v>114</v>
      </c>
      <c r="Q69" s="558">
        <v>1.7450000000000001</v>
      </c>
      <c r="R69" s="553" t="s">
        <v>17</v>
      </c>
      <c r="S69" s="1034">
        <f>35792.921-2721</f>
        <v>33071.921000000002</v>
      </c>
      <c r="T69" s="12"/>
      <c r="U69" s="536"/>
      <c r="V69" s="536"/>
      <c r="W69" s="547"/>
      <c r="X69" s="536"/>
      <c r="Y69" s="537"/>
      <c r="Z69" s="12"/>
      <c r="AA69" s="536"/>
      <c r="AB69" s="536"/>
      <c r="AC69" s="547"/>
      <c r="AD69" s="536"/>
      <c r="AE69" s="537"/>
      <c r="AF69" s="12"/>
      <c r="AG69" s="536"/>
      <c r="AH69" s="536"/>
      <c r="AI69" s="547"/>
      <c r="AJ69" s="536"/>
      <c r="AK69" s="538"/>
      <c r="AL69" s="1039"/>
      <c r="AM69" s="1039"/>
      <c r="AN69" s="1028"/>
      <c r="AO69" s="1029"/>
      <c r="AP69" s="1028"/>
      <c r="AQ69" s="1030"/>
      <c r="AR69" s="530"/>
    </row>
    <row r="70" spans="1:44" ht="18.75">
      <c r="A70" s="1008"/>
      <c r="B70" s="1008"/>
      <c r="C70" s="1023"/>
      <c r="D70" s="1024"/>
      <c r="E70" s="1017"/>
      <c r="F70" s="1018"/>
      <c r="G70" s="1017"/>
      <c r="H70" s="539"/>
      <c r="I70" s="312"/>
      <c r="J70" s="536"/>
      <c r="K70" s="42"/>
      <c r="L70" s="50"/>
      <c r="M70" s="537"/>
      <c r="N70" s="903"/>
      <c r="O70" s="903"/>
      <c r="P70" s="1020"/>
      <c r="Q70" s="51">
        <f>Q69*G69/F69</f>
        <v>19478</v>
      </c>
      <c r="R70" s="43" t="s">
        <v>32</v>
      </c>
      <c r="S70" s="1035"/>
      <c r="T70" s="12"/>
      <c r="U70" s="536"/>
      <c r="V70" s="536"/>
      <c r="W70" s="547"/>
      <c r="X70" s="536"/>
      <c r="Y70" s="537"/>
      <c r="Z70" s="12"/>
      <c r="AA70" s="536"/>
      <c r="AB70" s="536"/>
      <c r="AC70" s="547"/>
      <c r="AD70" s="536"/>
      <c r="AE70" s="537"/>
      <c r="AF70" s="12"/>
      <c r="AG70" s="536"/>
      <c r="AH70" s="536"/>
      <c r="AI70" s="547"/>
      <c r="AJ70" s="536"/>
      <c r="AK70" s="538"/>
      <c r="AL70" s="1039"/>
      <c r="AM70" s="1039"/>
      <c r="AN70" s="1028"/>
      <c r="AO70" s="1029"/>
      <c r="AP70" s="1028"/>
      <c r="AQ70" s="1030"/>
      <c r="AR70" s="530"/>
    </row>
    <row r="71" spans="1:44" ht="18.75">
      <c r="A71" s="1008">
        <v>35</v>
      </c>
      <c r="B71" s="1008">
        <v>735015</v>
      </c>
      <c r="C71" s="1025" t="s">
        <v>156</v>
      </c>
      <c r="D71" s="1024">
        <v>1.0549999999999999</v>
      </c>
      <c r="E71" s="1017">
        <v>7703</v>
      </c>
      <c r="F71" s="1018">
        <v>1.0549999999999999</v>
      </c>
      <c r="G71" s="1017">
        <v>7703</v>
      </c>
      <c r="H71" s="536"/>
      <c r="I71" s="536"/>
      <c r="J71" s="536"/>
      <c r="K71" s="47"/>
      <c r="L71" s="50"/>
      <c r="M71" s="537"/>
      <c r="N71" s="903" t="s">
        <v>1280</v>
      </c>
      <c r="O71" s="903" t="s">
        <v>2886</v>
      </c>
      <c r="P71" s="1020" t="s">
        <v>114</v>
      </c>
      <c r="Q71" s="547">
        <v>0.27400000000000002</v>
      </c>
      <c r="R71" s="553" t="s">
        <v>17</v>
      </c>
      <c r="S71" s="1034">
        <v>2551.27</v>
      </c>
      <c r="T71" s="12"/>
      <c r="U71" s="536"/>
      <c r="V71" s="536"/>
      <c r="W71" s="547"/>
      <c r="X71" s="536"/>
      <c r="Y71" s="537"/>
      <c r="Z71" s="12"/>
      <c r="AA71" s="536"/>
      <c r="AB71" s="536"/>
      <c r="AC71" s="547"/>
      <c r="AD71" s="536"/>
      <c r="AE71" s="537"/>
      <c r="AF71" s="12"/>
      <c r="AG71" s="536"/>
      <c r="AH71" s="536"/>
      <c r="AI71" s="547"/>
      <c r="AJ71" s="536"/>
      <c r="AK71" s="538"/>
      <c r="AL71" s="12"/>
      <c r="AM71" s="536"/>
      <c r="AN71" s="536"/>
      <c r="AO71" s="547"/>
      <c r="AP71" s="536"/>
      <c r="AQ71" s="538"/>
      <c r="AR71" s="530"/>
    </row>
    <row r="72" spans="1:44" ht="18.75">
      <c r="A72" s="1008"/>
      <c r="B72" s="1008"/>
      <c r="C72" s="1025"/>
      <c r="D72" s="1024"/>
      <c r="E72" s="1017"/>
      <c r="F72" s="1018"/>
      <c r="G72" s="1017"/>
      <c r="H72" s="536"/>
      <c r="I72" s="536"/>
      <c r="J72" s="536"/>
      <c r="K72" s="47"/>
      <c r="L72" s="50"/>
      <c r="M72" s="537"/>
      <c r="N72" s="903"/>
      <c r="O72" s="903"/>
      <c r="P72" s="1020"/>
      <c r="Q72" s="539">
        <v>2000</v>
      </c>
      <c r="R72" s="43" t="s">
        <v>32</v>
      </c>
      <c r="S72" s="1035"/>
      <c r="T72" s="12"/>
      <c r="U72" s="536"/>
      <c r="V72" s="536"/>
      <c r="W72" s="547"/>
      <c r="X72" s="536"/>
      <c r="Y72" s="537"/>
      <c r="Z72" s="12"/>
      <c r="AA72" s="536"/>
      <c r="AB72" s="536"/>
      <c r="AC72" s="547"/>
      <c r="AD72" s="536"/>
      <c r="AE72" s="537"/>
      <c r="AF72" s="12"/>
      <c r="AG72" s="536"/>
      <c r="AH72" s="536"/>
      <c r="AI72" s="547"/>
      <c r="AJ72" s="536"/>
      <c r="AK72" s="538"/>
      <c r="AL72" s="12"/>
      <c r="AM72" s="536"/>
      <c r="AN72" s="536"/>
      <c r="AO72" s="547"/>
      <c r="AP72" s="536"/>
      <c r="AQ72" s="538"/>
      <c r="AR72" s="530"/>
    </row>
    <row r="73" spans="1:44" ht="56.25">
      <c r="A73" s="1008">
        <v>36</v>
      </c>
      <c r="B73" s="1008">
        <v>739415</v>
      </c>
      <c r="C73" s="1023" t="s">
        <v>157</v>
      </c>
      <c r="D73" s="1024">
        <v>0.27</v>
      </c>
      <c r="E73" s="1017">
        <v>20475</v>
      </c>
      <c r="F73" s="1018">
        <v>0.27</v>
      </c>
      <c r="G73" s="1017">
        <v>20475</v>
      </c>
      <c r="H73" s="539"/>
      <c r="I73" s="312"/>
      <c r="J73" s="536"/>
      <c r="K73" s="42"/>
      <c r="L73" s="50"/>
      <c r="M73" s="537"/>
      <c r="N73" s="538"/>
      <c r="O73" s="536"/>
      <c r="P73" s="536"/>
      <c r="Q73" s="547"/>
      <c r="R73" s="536"/>
      <c r="S73" s="725"/>
      <c r="T73" s="957"/>
      <c r="U73" s="1008"/>
      <c r="V73" s="1008"/>
      <c r="W73" s="547"/>
      <c r="X73" s="553"/>
      <c r="Y73" s="1017"/>
      <c r="Z73" s="12"/>
      <c r="AA73" s="536"/>
      <c r="AB73" s="536"/>
      <c r="AC73" s="547"/>
      <c r="AD73" s="536"/>
      <c r="AE73" s="537"/>
      <c r="AF73" s="12"/>
      <c r="AG73" s="536"/>
      <c r="AH73" s="536"/>
      <c r="AI73" s="547"/>
      <c r="AJ73" s="536"/>
      <c r="AK73" s="538"/>
      <c r="AL73" s="12"/>
      <c r="AM73" s="536"/>
      <c r="AN73" s="536" t="s">
        <v>93</v>
      </c>
      <c r="AO73" s="547">
        <v>1</v>
      </c>
      <c r="AP73" s="536" t="s">
        <v>118</v>
      </c>
      <c r="AQ73" s="537">
        <v>50</v>
      </c>
      <c r="AR73" s="530"/>
    </row>
    <row r="74" spans="1:44" ht="56.25">
      <c r="A74" s="1008"/>
      <c r="B74" s="1008"/>
      <c r="C74" s="1023"/>
      <c r="D74" s="1024"/>
      <c r="E74" s="1017"/>
      <c r="F74" s="1018"/>
      <c r="G74" s="1017"/>
      <c r="H74" s="539"/>
      <c r="I74" s="312"/>
      <c r="J74" s="536"/>
      <c r="K74" s="42"/>
      <c r="L74" s="50"/>
      <c r="M74" s="537"/>
      <c r="N74" s="538"/>
      <c r="O74" s="536"/>
      <c r="P74" s="536"/>
      <c r="Q74" s="547"/>
      <c r="R74" s="536"/>
      <c r="S74" s="725"/>
      <c r="T74" s="957"/>
      <c r="U74" s="1008"/>
      <c r="V74" s="1008"/>
      <c r="W74" s="536"/>
      <c r="X74" s="43"/>
      <c r="Y74" s="1017"/>
      <c r="Z74" s="12"/>
      <c r="AA74" s="536"/>
      <c r="AB74" s="536"/>
      <c r="AC74" s="547"/>
      <c r="AD74" s="536"/>
      <c r="AE74" s="537"/>
      <c r="AF74" s="12"/>
      <c r="AG74" s="536"/>
      <c r="AH74" s="536"/>
      <c r="AI74" s="547"/>
      <c r="AJ74" s="536"/>
      <c r="AK74" s="538"/>
      <c r="AL74" s="12"/>
      <c r="AM74" s="536"/>
      <c r="AN74" s="536" t="s">
        <v>93</v>
      </c>
      <c r="AO74" s="547">
        <v>1</v>
      </c>
      <c r="AP74" s="536" t="s">
        <v>118</v>
      </c>
      <c r="AQ74" s="537">
        <v>50</v>
      </c>
      <c r="AR74" s="530"/>
    </row>
    <row r="75" spans="1:44" ht="32.25" customHeight="1">
      <c r="A75" s="1008">
        <v>37</v>
      </c>
      <c r="B75" s="1008">
        <v>749849</v>
      </c>
      <c r="C75" s="1023" t="s">
        <v>158</v>
      </c>
      <c r="D75" s="1024">
        <v>0.93700000000000006</v>
      </c>
      <c r="E75" s="1017">
        <v>9183</v>
      </c>
      <c r="F75" s="1018">
        <v>0.93700000000000006</v>
      </c>
      <c r="G75" s="1017">
        <v>9183</v>
      </c>
      <c r="H75" s="1019" t="s">
        <v>60</v>
      </c>
      <c r="I75" s="1019" t="s">
        <v>2707</v>
      </c>
      <c r="J75" s="1020" t="s">
        <v>114</v>
      </c>
      <c r="K75" s="558">
        <v>0.9</v>
      </c>
      <c r="L75" s="553" t="s">
        <v>17</v>
      </c>
      <c r="M75" s="1017">
        <v>10831.46904</v>
      </c>
      <c r="N75" s="538"/>
      <c r="O75" s="536"/>
      <c r="P75" s="536"/>
      <c r="Q75" s="547"/>
      <c r="R75" s="536"/>
      <c r="S75" s="725"/>
      <c r="T75" s="12"/>
      <c r="U75" s="536"/>
      <c r="V75" s="536"/>
      <c r="W75" s="547"/>
      <c r="X75" s="536"/>
      <c r="Y75" s="537"/>
      <c r="Z75" s="12"/>
      <c r="AA75" s="536"/>
      <c r="AB75" s="536"/>
      <c r="AC75" s="547"/>
      <c r="AD75" s="536"/>
      <c r="AE75" s="537"/>
      <c r="AF75" s="12"/>
      <c r="AG75" s="536"/>
      <c r="AH75" s="536"/>
      <c r="AI75" s="547"/>
      <c r="AJ75" s="536"/>
      <c r="AK75" s="538"/>
      <c r="AL75" s="12"/>
      <c r="AM75" s="536"/>
      <c r="AN75" s="536"/>
      <c r="AO75" s="547"/>
      <c r="AP75" s="536"/>
      <c r="AQ75" s="538"/>
      <c r="AR75" s="530"/>
    </row>
    <row r="76" spans="1:44" ht="50.25" customHeight="1">
      <c r="A76" s="1008"/>
      <c r="B76" s="1008"/>
      <c r="C76" s="1023"/>
      <c r="D76" s="1024"/>
      <c r="E76" s="1017"/>
      <c r="F76" s="1018"/>
      <c r="G76" s="1017"/>
      <c r="H76" s="1019"/>
      <c r="I76" s="1019"/>
      <c r="J76" s="1020"/>
      <c r="K76" s="51">
        <v>8955</v>
      </c>
      <c r="L76" s="43" t="s">
        <v>32</v>
      </c>
      <c r="M76" s="1017"/>
      <c r="N76" s="538"/>
      <c r="O76" s="536"/>
      <c r="P76" s="536"/>
      <c r="Q76" s="547"/>
      <c r="R76" s="536"/>
      <c r="S76" s="725"/>
      <c r="T76" s="12"/>
      <c r="U76" s="536"/>
      <c r="V76" s="536"/>
      <c r="W76" s="547"/>
      <c r="X76" s="536"/>
      <c r="Y76" s="537"/>
      <c r="Z76" s="12"/>
      <c r="AA76" s="536"/>
      <c r="AB76" s="536"/>
      <c r="AC76" s="547"/>
      <c r="AD76" s="536"/>
      <c r="AE76" s="537"/>
      <c r="AF76" s="12"/>
      <c r="AG76" s="536"/>
      <c r="AH76" s="536"/>
      <c r="AI76" s="547"/>
      <c r="AJ76" s="536"/>
      <c r="AK76" s="538"/>
      <c r="AL76" s="12"/>
      <c r="AM76" s="536"/>
      <c r="AN76" s="536"/>
      <c r="AO76" s="547"/>
      <c r="AP76" s="536"/>
      <c r="AQ76" s="538"/>
      <c r="AR76" s="530"/>
    </row>
    <row r="77" spans="1:44" ht="18.75" customHeight="1">
      <c r="A77" s="1008">
        <v>38</v>
      </c>
      <c r="B77" s="1008">
        <v>739443</v>
      </c>
      <c r="C77" s="1025" t="s">
        <v>159</v>
      </c>
      <c r="D77" s="1024">
        <v>0.31</v>
      </c>
      <c r="E77" s="1017">
        <v>15483</v>
      </c>
      <c r="F77" s="1018">
        <v>0.31</v>
      </c>
      <c r="G77" s="1017">
        <v>15483</v>
      </c>
      <c r="H77" s="1019" t="s">
        <v>2708</v>
      </c>
      <c r="I77" s="1019" t="s">
        <v>2709</v>
      </c>
      <c r="J77" s="1020" t="s">
        <v>114</v>
      </c>
      <c r="K77" s="558">
        <v>0.06</v>
      </c>
      <c r="L77" s="553" t="s">
        <v>17</v>
      </c>
      <c r="M77" s="1017">
        <v>4343.4409900000001</v>
      </c>
      <c r="N77" s="538"/>
      <c r="O77" s="536"/>
      <c r="P77" s="536"/>
      <c r="Q77" s="547"/>
      <c r="R77" s="536"/>
      <c r="S77" s="725"/>
      <c r="T77" s="12"/>
      <c r="U77" s="536"/>
      <c r="V77" s="536"/>
      <c r="W77" s="547"/>
      <c r="X77" s="536"/>
      <c r="Y77" s="537"/>
      <c r="Z77" s="12"/>
      <c r="AA77" s="536"/>
      <c r="AB77" s="536"/>
      <c r="AC77" s="547"/>
      <c r="AD77" s="536"/>
      <c r="AE77" s="537"/>
      <c r="AF77" s="12"/>
      <c r="AG77" s="536"/>
      <c r="AH77" s="536"/>
      <c r="AI77" s="547"/>
      <c r="AJ77" s="536"/>
      <c r="AK77" s="538"/>
      <c r="AL77" s="12"/>
      <c r="AM77" s="536"/>
      <c r="AN77" s="536"/>
      <c r="AO77" s="547"/>
      <c r="AP77" s="536"/>
      <c r="AQ77" s="538"/>
      <c r="AR77" s="530"/>
    </row>
    <row r="78" spans="1:44" ht="18.75">
      <c r="A78" s="1008"/>
      <c r="B78" s="1008"/>
      <c r="C78" s="1025"/>
      <c r="D78" s="1024"/>
      <c r="E78" s="1017"/>
      <c r="F78" s="1018"/>
      <c r="G78" s="1017"/>
      <c r="H78" s="1019"/>
      <c r="I78" s="1019"/>
      <c r="J78" s="1020"/>
      <c r="K78" s="51">
        <v>3581</v>
      </c>
      <c r="L78" s="43" t="s">
        <v>32</v>
      </c>
      <c r="M78" s="1017"/>
      <c r="N78" s="538"/>
      <c r="O78" s="536"/>
      <c r="P78" s="536"/>
      <c r="Q78" s="547"/>
      <c r="R78" s="536"/>
      <c r="S78" s="725"/>
      <c r="T78" s="12"/>
      <c r="U78" s="536"/>
      <c r="V78" s="536"/>
      <c r="W78" s="547"/>
      <c r="X78" s="536"/>
      <c r="Y78" s="537"/>
      <c r="Z78" s="12"/>
      <c r="AA78" s="536"/>
      <c r="AB78" s="536"/>
      <c r="AC78" s="547"/>
      <c r="AD78" s="536"/>
      <c r="AE78" s="537"/>
      <c r="AF78" s="12"/>
      <c r="AG78" s="536"/>
      <c r="AH78" s="536"/>
      <c r="AI78" s="547"/>
      <c r="AJ78" s="536"/>
      <c r="AK78" s="538"/>
      <c r="AL78" s="12"/>
      <c r="AM78" s="536"/>
      <c r="AN78" s="536"/>
      <c r="AO78" s="547"/>
      <c r="AP78" s="536"/>
      <c r="AQ78" s="538"/>
      <c r="AR78" s="530"/>
    </row>
    <row r="79" spans="1:44" ht="18.75">
      <c r="A79" s="1008"/>
      <c r="B79" s="1008"/>
      <c r="C79" s="1025"/>
      <c r="D79" s="1024"/>
      <c r="E79" s="1017"/>
      <c r="F79" s="1018"/>
      <c r="G79" s="1017"/>
      <c r="H79" s="539"/>
      <c r="I79" s="539"/>
      <c r="J79" s="536"/>
      <c r="K79" s="47"/>
      <c r="L79" s="52"/>
      <c r="M79" s="537"/>
      <c r="N79" s="49"/>
      <c r="O79" s="49"/>
      <c r="P79" s="536"/>
      <c r="Q79" s="47"/>
      <c r="R79" s="52"/>
      <c r="S79" s="725"/>
      <c r="T79" s="12"/>
      <c r="U79" s="536"/>
      <c r="V79" s="536"/>
      <c r="W79" s="547"/>
      <c r="X79" s="536"/>
      <c r="Y79" s="537"/>
      <c r="Z79" s="12"/>
      <c r="AA79" s="536"/>
      <c r="AB79" s="536"/>
      <c r="AC79" s="547"/>
      <c r="AD79" s="536"/>
      <c r="AE79" s="537"/>
      <c r="AF79" s="12"/>
      <c r="AG79" s="536"/>
      <c r="AH79" s="536"/>
      <c r="AI79" s="547"/>
      <c r="AJ79" s="536"/>
      <c r="AK79" s="538"/>
      <c r="AL79" s="12"/>
      <c r="AM79" s="536"/>
      <c r="AN79" s="536"/>
      <c r="AO79" s="547"/>
      <c r="AP79" s="536"/>
      <c r="AQ79" s="538"/>
      <c r="AR79" s="530"/>
    </row>
    <row r="80" spans="1:44" ht="57" customHeight="1">
      <c r="A80" s="1008">
        <v>39</v>
      </c>
      <c r="B80" s="1008">
        <v>742735</v>
      </c>
      <c r="C80" s="1008" t="s">
        <v>160</v>
      </c>
      <c r="D80" s="1024">
        <v>8.9700000000000006</v>
      </c>
      <c r="E80" s="1017">
        <v>111523</v>
      </c>
      <c r="F80" s="1018">
        <v>8.9700000000000006</v>
      </c>
      <c r="G80" s="1017">
        <v>111523</v>
      </c>
      <c r="H80" s="1019" t="s">
        <v>60</v>
      </c>
      <c r="I80" s="1019" t="s">
        <v>2766</v>
      </c>
      <c r="J80" s="1020" t="s">
        <v>114</v>
      </c>
      <c r="K80" s="53">
        <v>4.79</v>
      </c>
      <c r="L80" s="553" t="s">
        <v>17</v>
      </c>
      <c r="M80" s="1017">
        <v>65060.59362</v>
      </c>
      <c r="N80" s="903" t="s">
        <v>60</v>
      </c>
      <c r="O80" s="903" t="s">
        <v>2849</v>
      </c>
      <c r="P80" s="1020" t="s">
        <v>114</v>
      </c>
      <c r="Q80" s="558">
        <f>Q81/G80*F80</f>
        <v>0.1608636783443774</v>
      </c>
      <c r="R80" s="553" t="s">
        <v>17</v>
      </c>
      <c r="S80" s="1034">
        <v>2546.19</v>
      </c>
      <c r="T80" s="12"/>
      <c r="U80" s="536"/>
      <c r="V80" s="536"/>
      <c r="W80" s="547"/>
      <c r="X80" s="536"/>
      <c r="Y80" s="537"/>
      <c r="Z80" s="12"/>
      <c r="AA80" s="536"/>
      <c r="AB80" s="536"/>
      <c r="AC80" s="547"/>
      <c r="AD80" s="536"/>
      <c r="AE80" s="537"/>
      <c r="AF80" s="957"/>
      <c r="AG80" s="1008"/>
      <c r="AH80" s="1008"/>
      <c r="AI80" s="547"/>
      <c r="AJ80" s="553"/>
      <c r="AK80" s="903"/>
      <c r="AL80" s="12"/>
      <c r="AM80" s="536"/>
      <c r="AN80" s="536"/>
      <c r="AO80" s="547"/>
      <c r="AP80" s="536"/>
      <c r="AQ80" s="538"/>
      <c r="AR80" s="530"/>
    </row>
    <row r="81" spans="1:44" ht="35.25" customHeight="1">
      <c r="A81" s="1008"/>
      <c r="B81" s="1008"/>
      <c r="C81" s="1008"/>
      <c r="D81" s="1024"/>
      <c r="E81" s="1017"/>
      <c r="F81" s="1018"/>
      <c r="G81" s="1017"/>
      <c r="H81" s="1019"/>
      <c r="I81" s="1019"/>
      <c r="J81" s="1020"/>
      <c r="K81" s="54">
        <v>53321</v>
      </c>
      <c r="L81" s="43" t="s">
        <v>32</v>
      </c>
      <c r="M81" s="1017"/>
      <c r="N81" s="903"/>
      <c r="O81" s="903"/>
      <c r="P81" s="1020"/>
      <c r="Q81" s="51">
        <v>2000</v>
      </c>
      <c r="R81" s="43" t="s">
        <v>32</v>
      </c>
      <c r="S81" s="1035"/>
      <c r="T81" s="12"/>
      <c r="U81" s="536"/>
      <c r="V81" s="536"/>
      <c r="W81" s="547"/>
      <c r="X81" s="536"/>
      <c r="Y81" s="537"/>
      <c r="Z81" s="12"/>
      <c r="AA81" s="536"/>
      <c r="AB81" s="536"/>
      <c r="AC81" s="547"/>
      <c r="AD81" s="536"/>
      <c r="AE81" s="537"/>
      <c r="AF81" s="957"/>
      <c r="AG81" s="1008"/>
      <c r="AH81" s="1008"/>
      <c r="AI81" s="536"/>
      <c r="AJ81" s="43"/>
      <c r="AK81" s="903"/>
      <c r="AL81" s="12"/>
      <c r="AM81" s="536"/>
      <c r="AN81" s="536"/>
      <c r="AO81" s="547"/>
      <c r="AP81" s="536"/>
      <c r="AQ81" s="538"/>
      <c r="AR81" s="530"/>
    </row>
    <row r="82" spans="1:44" ht="34.5" customHeight="1">
      <c r="A82" s="1008"/>
      <c r="B82" s="1008"/>
      <c r="C82" s="1008"/>
      <c r="D82" s="1024"/>
      <c r="E82" s="1017"/>
      <c r="F82" s="1018"/>
      <c r="G82" s="1017"/>
      <c r="H82" s="539"/>
      <c r="I82" s="539"/>
      <c r="J82" s="536"/>
      <c r="K82" s="55"/>
      <c r="L82" s="52"/>
      <c r="M82" s="648"/>
      <c r="N82" s="539" t="s">
        <v>2855</v>
      </c>
      <c r="O82" s="539" t="s">
        <v>2855</v>
      </c>
      <c r="P82" s="536" t="s">
        <v>462</v>
      </c>
      <c r="Q82" s="547">
        <v>1</v>
      </c>
      <c r="R82" s="536" t="s">
        <v>118</v>
      </c>
      <c r="S82" s="725">
        <v>100</v>
      </c>
      <c r="T82" s="1019"/>
      <c r="U82" s="1019"/>
      <c r="V82" s="536"/>
      <c r="W82" s="55"/>
      <c r="X82" s="52"/>
      <c r="Y82" s="537"/>
      <c r="Z82" s="1019"/>
      <c r="AA82" s="1019"/>
      <c r="AB82" s="536"/>
      <c r="AC82" s="55"/>
      <c r="AD82" s="52"/>
      <c r="AE82" s="537"/>
      <c r="AF82" s="545"/>
      <c r="AG82" s="536"/>
      <c r="AH82" s="536"/>
      <c r="AI82" s="536"/>
      <c r="AJ82" s="43"/>
      <c r="AK82" s="538"/>
      <c r="AL82" s="1019"/>
      <c r="AM82" s="1019"/>
      <c r="AN82" s="536"/>
      <c r="AO82" s="55"/>
      <c r="AP82" s="52"/>
      <c r="AQ82" s="538"/>
      <c r="AR82" s="530"/>
    </row>
    <row r="83" spans="1:44" ht="37.5">
      <c r="A83" s="1008"/>
      <c r="B83" s="1008"/>
      <c r="C83" s="1008"/>
      <c r="D83" s="547"/>
      <c r="E83" s="537"/>
      <c r="F83" s="548"/>
      <c r="G83" s="537"/>
      <c r="H83" s="539"/>
      <c r="I83" s="539"/>
      <c r="J83" s="536"/>
      <c r="K83" s="55"/>
      <c r="L83" s="52"/>
      <c r="M83" s="648"/>
      <c r="N83" s="539" t="s">
        <v>2849</v>
      </c>
      <c r="O83" s="539" t="s">
        <v>2849</v>
      </c>
      <c r="P83" s="536" t="s">
        <v>93</v>
      </c>
      <c r="Q83" s="547">
        <v>1</v>
      </c>
      <c r="R83" s="536" t="s">
        <v>118</v>
      </c>
      <c r="S83" s="725">
        <v>15</v>
      </c>
      <c r="T83" s="539"/>
      <c r="U83" s="539"/>
      <c r="V83" s="536"/>
      <c r="W83" s="55"/>
      <c r="X83" s="52"/>
      <c r="Y83" s="537"/>
      <c r="Z83" s="539"/>
      <c r="AA83" s="539"/>
      <c r="AB83" s="536"/>
      <c r="AC83" s="55"/>
      <c r="AD83" s="52"/>
      <c r="AE83" s="537"/>
      <c r="AF83" s="545"/>
      <c r="AG83" s="536"/>
      <c r="AH83" s="536"/>
      <c r="AI83" s="536"/>
      <c r="AJ83" s="43"/>
      <c r="AK83" s="538"/>
      <c r="AL83" s="539"/>
      <c r="AM83" s="539"/>
      <c r="AN83" s="536"/>
      <c r="AO83" s="55"/>
      <c r="AP83" s="52"/>
      <c r="AQ83" s="538"/>
      <c r="AR83" s="530"/>
    </row>
    <row r="84" spans="1:44" ht="37.5">
      <c r="A84" s="1008"/>
      <c r="B84" s="1008"/>
      <c r="C84" s="1008"/>
      <c r="D84" s="547"/>
      <c r="E84" s="537"/>
      <c r="F84" s="548"/>
      <c r="G84" s="537"/>
      <c r="H84" s="539"/>
      <c r="I84" s="539"/>
      <c r="J84" s="536"/>
      <c r="K84" s="55"/>
      <c r="L84" s="52"/>
      <c r="M84" s="648"/>
      <c r="N84" s="539" t="s">
        <v>2791</v>
      </c>
      <c r="O84" s="539" t="s">
        <v>2792</v>
      </c>
      <c r="P84" s="536" t="s">
        <v>93</v>
      </c>
      <c r="Q84" s="547">
        <v>1</v>
      </c>
      <c r="R84" s="536" t="s">
        <v>118</v>
      </c>
      <c r="S84" s="725">
        <v>40</v>
      </c>
      <c r="T84" s="539"/>
      <c r="U84" s="539"/>
      <c r="V84" s="536"/>
      <c r="W84" s="55"/>
      <c r="X84" s="52"/>
      <c r="Y84" s="537"/>
      <c r="Z84" s="539"/>
      <c r="AA84" s="539"/>
      <c r="AB84" s="536"/>
      <c r="AC84" s="55"/>
      <c r="AD84" s="52"/>
      <c r="AE84" s="537"/>
      <c r="AF84" s="545"/>
      <c r="AG84" s="536"/>
      <c r="AH84" s="536"/>
      <c r="AI84" s="536"/>
      <c r="AJ84" s="43"/>
      <c r="AK84" s="538"/>
      <c r="AL84" s="539"/>
      <c r="AM84" s="539"/>
      <c r="AN84" s="536"/>
      <c r="AO84" s="55"/>
      <c r="AP84" s="52"/>
      <c r="AQ84" s="538"/>
      <c r="AR84" s="530"/>
    </row>
    <row r="85" spans="1:44" ht="56.25">
      <c r="A85" s="1008"/>
      <c r="B85" s="1008"/>
      <c r="C85" s="1008"/>
      <c r="D85" s="547"/>
      <c r="E85" s="537"/>
      <c r="F85" s="548"/>
      <c r="G85" s="537"/>
      <c r="H85" s="539"/>
      <c r="I85" s="539"/>
      <c r="J85" s="536"/>
      <c r="K85" s="55"/>
      <c r="L85" s="52"/>
      <c r="M85" s="648"/>
      <c r="N85" s="539" t="s">
        <v>2793</v>
      </c>
      <c r="O85" s="539" t="s">
        <v>2793</v>
      </c>
      <c r="P85" s="536" t="s">
        <v>120</v>
      </c>
      <c r="Q85" s="547">
        <v>1</v>
      </c>
      <c r="R85" s="536" t="s">
        <v>118</v>
      </c>
      <c r="S85" s="725">
        <v>250</v>
      </c>
      <c r="T85" s="539"/>
      <c r="U85" s="539"/>
      <c r="V85" s="536"/>
      <c r="W85" s="55"/>
      <c r="X85" s="52"/>
      <c r="Y85" s="537"/>
      <c r="Z85" s="539"/>
      <c r="AA85" s="539"/>
      <c r="AB85" s="536"/>
      <c r="AC85" s="55"/>
      <c r="AD85" s="52"/>
      <c r="AE85" s="537"/>
      <c r="AF85" s="545"/>
      <c r="AG85" s="536"/>
      <c r="AH85" s="536"/>
      <c r="AI85" s="536"/>
      <c r="AJ85" s="43"/>
      <c r="AK85" s="538"/>
      <c r="AL85" s="539"/>
      <c r="AM85" s="539"/>
      <c r="AN85" s="536"/>
      <c r="AO85" s="55"/>
      <c r="AP85" s="52"/>
      <c r="AQ85" s="538"/>
      <c r="AR85" s="530"/>
    </row>
    <row r="86" spans="1:44" ht="37.5">
      <c r="A86" s="1008"/>
      <c r="B86" s="1008"/>
      <c r="C86" s="1008"/>
      <c r="D86" s="547"/>
      <c r="E86" s="537"/>
      <c r="F86" s="548"/>
      <c r="G86" s="537"/>
      <c r="H86" s="539"/>
      <c r="I86" s="539"/>
      <c r="J86" s="536"/>
      <c r="K86" s="55"/>
      <c r="L86" s="52"/>
      <c r="M86" s="648"/>
      <c r="N86" s="539" t="s">
        <v>2771</v>
      </c>
      <c r="O86" s="539" t="s">
        <v>2771</v>
      </c>
      <c r="P86" s="536" t="s">
        <v>93</v>
      </c>
      <c r="Q86" s="547">
        <v>1</v>
      </c>
      <c r="R86" s="536" t="s">
        <v>118</v>
      </c>
      <c r="S86" s="725">
        <v>50</v>
      </c>
      <c r="T86" s="539"/>
      <c r="U86" s="539"/>
      <c r="V86" s="536"/>
      <c r="W86" s="55"/>
      <c r="X86" s="52"/>
      <c r="Y86" s="537"/>
      <c r="Z86" s="539"/>
      <c r="AA86" s="539"/>
      <c r="AB86" s="536"/>
      <c r="AC86" s="55"/>
      <c r="AD86" s="52"/>
      <c r="AE86" s="537"/>
      <c r="AF86" s="545"/>
      <c r="AG86" s="536"/>
      <c r="AH86" s="536"/>
      <c r="AI86" s="536"/>
      <c r="AJ86" s="43"/>
      <c r="AK86" s="538"/>
      <c r="AL86" s="539"/>
      <c r="AM86" s="539"/>
      <c r="AN86" s="536"/>
      <c r="AO86" s="55"/>
      <c r="AP86" s="52"/>
      <c r="AQ86" s="538"/>
      <c r="AR86" s="530"/>
    </row>
    <row r="87" spans="1:44" ht="56.25">
      <c r="A87" s="1008"/>
      <c r="B87" s="1008"/>
      <c r="C87" s="1008"/>
      <c r="D87" s="547"/>
      <c r="E87" s="537"/>
      <c r="F87" s="548"/>
      <c r="G87" s="537"/>
      <c r="H87" s="539"/>
      <c r="I87" s="539"/>
      <c r="J87" s="536"/>
      <c r="K87" s="55"/>
      <c r="L87" s="52"/>
      <c r="M87" s="648"/>
      <c r="N87" s="539" t="s">
        <v>2858</v>
      </c>
      <c r="O87" s="539" t="s">
        <v>2859</v>
      </c>
      <c r="P87" s="536" t="s">
        <v>120</v>
      </c>
      <c r="Q87" s="547">
        <v>1</v>
      </c>
      <c r="R87" s="536" t="s">
        <v>118</v>
      </c>
      <c r="S87" s="725">
        <v>200</v>
      </c>
      <c r="T87" s="539"/>
      <c r="U87" s="539"/>
      <c r="V87" s="536"/>
      <c r="W87" s="55"/>
      <c r="X87" s="52"/>
      <c r="Y87" s="537"/>
      <c r="Z87" s="539"/>
      <c r="AA87" s="539"/>
      <c r="AB87" s="536"/>
      <c r="AC87" s="55"/>
      <c r="AD87" s="52"/>
      <c r="AE87" s="537"/>
      <c r="AF87" s="545"/>
      <c r="AG87" s="536"/>
      <c r="AH87" s="536"/>
      <c r="AI87" s="536"/>
      <c r="AJ87" s="43"/>
      <c r="AK87" s="538"/>
      <c r="AL87" s="539"/>
      <c r="AM87" s="539"/>
      <c r="AN87" s="536"/>
      <c r="AO87" s="55"/>
      <c r="AP87" s="52"/>
      <c r="AQ87" s="538"/>
      <c r="AR87" s="530"/>
    </row>
    <row r="88" spans="1:44" ht="56.25">
      <c r="A88" s="536">
        <v>40</v>
      </c>
      <c r="B88" s="536">
        <v>737839</v>
      </c>
      <c r="C88" s="549" t="s">
        <v>161</v>
      </c>
      <c r="D88" s="547">
        <v>0.71</v>
      </c>
      <c r="E88" s="537">
        <v>6777</v>
      </c>
      <c r="F88" s="548">
        <v>0.71</v>
      </c>
      <c r="G88" s="537">
        <v>6777</v>
      </c>
      <c r="H88" s="539"/>
      <c r="I88" s="312"/>
      <c r="J88" s="536"/>
      <c r="K88" s="42"/>
      <c r="L88" s="50"/>
      <c r="M88" s="537"/>
      <c r="N88" s="539" t="s">
        <v>2878</v>
      </c>
      <c r="O88" s="539" t="s">
        <v>2808</v>
      </c>
      <c r="P88" s="536" t="s">
        <v>120</v>
      </c>
      <c r="Q88" s="547">
        <v>1</v>
      </c>
      <c r="R88" s="536" t="s">
        <v>118</v>
      </c>
      <c r="S88" s="725">
        <v>500</v>
      </c>
      <c r="T88" s="12"/>
      <c r="U88" s="536"/>
      <c r="V88" s="536"/>
      <c r="W88" s="547"/>
      <c r="X88" s="536"/>
      <c r="Y88" s="537"/>
      <c r="Z88" s="12"/>
      <c r="AA88" s="536"/>
      <c r="AB88" s="536"/>
      <c r="AC88" s="547"/>
      <c r="AD88" s="536"/>
      <c r="AE88" s="537"/>
      <c r="AF88" s="12"/>
      <c r="AG88" s="536"/>
      <c r="AH88" s="536"/>
      <c r="AI88" s="547"/>
      <c r="AJ88" s="536"/>
      <c r="AK88" s="538"/>
      <c r="AL88" s="12"/>
      <c r="AM88" s="536"/>
      <c r="AN88" s="536"/>
      <c r="AO88" s="547"/>
      <c r="AP88" s="536"/>
      <c r="AQ88" s="538"/>
      <c r="AR88" s="530"/>
    </row>
    <row r="89" spans="1:44" ht="56.25">
      <c r="A89" s="1008">
        <v>41</v>
      </c>
      <c r="B89" s="1008">
        <v>735997</v>
      </c>
      <c r="C89" s="1025" t="s">
        <v>162</v>
      </c>
      <c r="D89" s="1024">
        <v>2.0699999999999998</v>
      </c>
      <c r="E89" s="1017">
        <v>33588</v>
      </c>
      <c r="F89" s="1018">
        <v>2.0699999999999998</v>
      </c>
      <c r="G89" s="1017">
        <v>33588</v>
      </c>
      <c r="H89" s="539"/>
      <c r="I89" s="539"/>
      <c r="J89" s="536"/>
      <c r="K89" s="47"/>
      <c r="L89" s="52"/>
      <c r="M89" s="537"/>
      <c r="N89" s="319"/>
      <c r="O89" s="319"/>
      <c r="P89" s="555"/>
      <c r="Q89" s="556"/>
      <c r="R89" s="555"/>
      <c r="S89" s="726"/>
      <c r="T89" s="12"/>
      <c r="U89" s="536"/>
      <c r="V89" s="536"/>
      <c r="W89" s="547"/>
      <c r="X89" s="536"/>
      <c r="Y89" s="537"/>
      <c r="Z89" s="12"/>
      <c r="AA89" s="536"/>
      <c r="AB89" s="536"/>
      <c r="AC89" s="547"/>
      <c r="AD89" s="536"/>
      <c r="AE89" s="537"/>
      <c r="AF89" s="12"/>
      <c r="AG89" s="536"/>
      <c r="AH89" s="536" t="s">
        <v>93</v>
      </c>
      <c r="AI89" s="547">
        <v>1</v>
      </c>
      <c r="AJ89" s="536" t="s">
        <v>118</v>
      </c>
      <c r="AK89" s="537">
        <v>50</v>
      </c>
      <c r="AL89" s="12"/>
      <c r="AM89" s="536"/>
      <c r="AN89" s="536"/>
      <c r="AO89" s="547"/>
      <c r="AP89" s="536"/>
      <c r="AQ89" s="538"/>
      <c r="AR89" s="530"/>
    </row>
    <row r="90" spans="1:44" ht="56.25">
      <c r="A90" s="1008"/>
      <c r="B90" s="1008"/>
      <c r="C90" s="1025"/>
      <c r="D90" s="1024"/>
      <c r="E90" s="1017"/>
      <c r="F90" s="1018"/>
      <c r="G90" s="1017"/>
      <c r="H90" s="539"/>
      <c r="I90" s="539"/>
      <c r="J90" s="536"/>
      <c r="K90" s="47"/>
      <c r="L90" s="52"/>
      <c r="M90" s="537"/>
      <c r="N90" s="49"/>
      <c r="O90" s="49"/>
      <c r="P90" s="536"/>
      <c r="Q90" s="47"/>
      <c r="R90" s="52"/>
      <c r="S90" s="726"/>
      <c r="T90" s="12"/>
      <c r="U90" s="536"/>
      <c r="V90" s="536"/>
      <c r="W90" s="547"/>
      <c r="X90" s="536"/>
      <c r="Y90" s="537"/>
      <c r="Z90" s="12"/>
      <c r="AA90" s="536"/>
      <c r="AB90" s="536"/>
      <c r="AC90" s="547"/>
      <c r="AD90" s="536"/>
      <c r="AE90" s="537"/>
      <c r="AF90" s="12"/>
      <c r="AG90" s="536"/>
      <c r="AH90" s="536"/>
      <c r="AI90" s="547"/>
      <c r="AJ90" s="536"/>
      <c r="AK90" s="538"/>
      <c r="AL90" s="12"/>
      <c r="AM90" s="536"/>
      <c r="AN90" s="536" t="s">
        <v>93</v>
      </c>
      <c r="AO90" s="547">
        <v>1</v>
      </c>
      <c r="AP90" s="536" t="s">
        <v>118</v>
      </c>
      <c r="AQ90" s="537">
        <v>50</v>
      </c>
      <c r="AR90" s="530"/>
    </row>
    <row r="91" spans="1:44" ht="56.25">
      <c r="A91" s="1008">
        <v>42</v>
      </c>
      <c r="B91" s="1008">
        <v>737919</v>
      </c>
      <c r="C91" s="1023" t="s">
        <v>163</v>
      </c>
      <c r="D91" s="1024">
        <v>1.42</v>
      </c>
      <c r="E91" s="1017">
        <v>21176</v>
      </c>
      <c r="F91" s="1018">
        <v>1.42</v>
      </c>
      <c r="G91" s="1017">
        <v>21176</v>
      </c>
      <c r="H91" s="539"/>
      <c r="I91" s="312"/>
      <c r="J91" s="536"/>
      <c r="K91" s="42"/>
      <c r="L91" s="50"/>
      <c r="M91" s="537"/>
      <c r="N91" s="319" t="s">
        <v>2794</v>
      </c>
      <c r="O91" s="319" t="s">
        <v>2794</v>
      </c>
      <c r="P91" s="536" t="s">
        <v>120</v>
      </c>
      <c r="Q91" s="547">
        <v>1</v>
      </c>
      <c r="R91" s="536" t="s">
        <v>118</v>
      </c>
      <c r="S91" s="725">
        <v>70</v>
      </c>
      <c r="T91" s="12"/>
      <c r="U91" s="536"/>
      <c r="V91" s="536"/>
      <c r="W91" s="547"/>
      <c r="X91" s="536"/>
      <c r="Y91" s="537"/>
      <c r="Z91" s="12"/>
      <c r="AA91" s="536"/>
      <c r="AB91" s="536"/>
      <c r="AC91" s="547"/>
      <c r="AD91" s="536"/>
      <c r="AE91" s="537"/>
      <c r="AF91" s="12"/>
      <c r="AG91" s="536"/>
      <c r="AH91" s="536"/>
      <c r="AI91" s="547"/>
      <c r="AJ91" s="536"/>
      <c r="AK91" s="538"/>
      <c r="AL91" s="12"/>
      <c r="AM91" s="536"/>
      <c r="AN91" s="536"/>
      <c r="AO91" s="547"/>
      <c r="AP91" s="536"/>
      <c r="AQ91" s="538"/>
      <c r="AR91" s="530"/>
    </row>
    <row r="92" spans="1:44" ht="18.75">
      <c r="A92" s="1008"/>
      <c r="B92" s="1008"/>
      <c r="C92" s="1023"/>
      <c r="D92" s="1024"/>
      <c r="E92" s="1017"/>
      <c r="F92" s="1018"/>
      <c r="G92" s="1017"/>
      <c r="H92" s="539"/>
      <c r="I92" s="312"/>
      <c r="J92" s="536"/>
      <c r="K92" s="42"/>
      <c r="L92" s="50"/>
      <c r="M92" s="537"/>
      <c r="N92" s="319"/>
      <c r="O92" s="319"/>
      <c r="P92" s="536"/>
      <c r="Q92" s="547"/>
      <c r="R92" s="536"/>
      <c r="S92" s="725"/>
      <c r="T92" s="12"/>
      <c r="U92" s="536"/>
      <c r="V92" s="536"/>
      <c r="W92" s="547"/>
      <c r="X92" s="536"/>
      <c r="Y92" s="537"/>
      <c r="Z92" s="12"/>
      <c r="AA92" s="536"/>
      <c r="AB92" s="536"/>
      <c r="AC92" s="547"/>
      <c r="AD92" s="536"/>
      <c r="AE92" s="537"/>
      <c r="AF92" s="12"/>
      <c r="AG92" s="536"/>
      <c r="AH92" s="536"/>
      <c r="AI92" s="547"/>
      <c r="AJ92" s="536"/>
      <c r="AK92" s="538"/>
      <c r="AL92" s="12"/>
      <c r="AM92" s="536"/>
      <c r="AN92" s="536"/>
      <c r="AO92" s="547"/>
      <c r="AP92" s="536"/>
      <c r="AQ92" s="538"/>
      <c r="AR92" s="530"/>
    </row>
    <row r="93" spans="1:44" ht="56.25">
      <c r="A93" s="1008">
        <v>43</v>
      </c>
      <c r="B93" s="1008">
        <v>739578</v>
      </c>
      <c r="C93" s="1025" t="s">
        <v>2795</v>
      </c>
      <c r="D93" s="1024">
        <v>1.32</v>
      </c>
      <c r="E93" s="1017">
        <v>32675</v>
      </c>
      <c r="F93" s="1018">
        <v>1.32</v>
      </c>
      <c r="G93" s="1017">
        <v>32675</v>
      </c>
      <c r="H93" s="539"/>
      <c r="I93" s="539"/>
      <c r="J93" s="536"/>
      <c r="K93" s="47"/>
      <c r="L93" s="52"/>
      <c r="M93" s="537"/>
      <c r="N93" s="49"/>
      <c r="O93" s="49"/>
      <c r="P93" s="536"/>
      <c r="Q93" s="47"/>
      <c r="R93" s="52"/>
      <c r="S93" s="727"/>
      <c r="T93" s="12"/>
      <c r="U93" s="536"/>
      <c r="V93" s="536"/>
      <c r="W93" s="547"/>
      <c r="X93" s="536"/>
      <c r="Y93" s="537"/>
      <c r="Z93" s="1039"/>
      <c r="AA93" s="1039"/>
      <c r="AB93" s="1028"/>
      <c r="AC93" s="1029"/>
      <c r="AD93" s="1028"/>
      <c r="AE93" s="1033"/>
      <c r="AF93" s="12"/>
      <c r="AG93" s="536"/>
      <c r="AH93" s="536" t="s">
        <v>93</v>
      </c>
      <c r="AI93" s="547">
        <v>1</v>
      </c>
      <c r="AJ93" s="536" t="s">
        <v>118</v>
      </c>
      <c r="AK93" s="537">
        <v>50</v>
      </c>
      <c r="AL93" s="12"/>
      <c r="AM93" s="536"/>
      <c r="AN93" s="536"/>
      <c r="AO93" s="547"/>
      <c r="AP93" s="536"/>
      <c r="AQ93" s="538"/>
      <c r="AR93" s="530"/>
    </row>
    <row r="94" spans="1:44" ht="18.75">
      <c r="A94" s="1008"/>
      <c r="B94" s="1008"/>
      <c r="C94" s="1025"/>
      <c r="D94" s="1024"/>
      <c r="E94" s="1017"/>
      <c r="F94" s="1018"/>
      <c r="G94" s="1017"/>
      <c r="H94" s="539"/>
      <c r="I94" s="312"/>
      <c r="J94" s="536"/>
      <c r="K94" s="42"/>
      <c r="L94" s="50"/>
      <c r="M94" s="537"/>
      <c r="N94" s="318"/>
      <c r="O94" s="549"/>
      <c r="P94" s="549"/>
      <c r="Q94" s="539"/>
      <c r="R94" s="43"/>
      <c r="S94" s="727"/>
      <c r="T94" s="12"/>
      <c r="U94" s="536"/>
      <c r="V94" s="536"/>
      <c r="W94" s="547"/>
      <c r="X94" s="536"/>
      <c r="Y94" s="537"/>
      <c r="Z94" s="1039"/>
      <c r="AA94" s="1039"/>
      <c r="AB94" s="1028"/>
      <c r="AC94" s="1029"/>
      <c r="AD94" s="1028"/>
      <c r="AE94" s="1033"/>
      <c r="AF94" s="12"/>
      <c r="AG94" s="536"/>
      <c r="AH94" s="536"/>
      <c r="AI94" s="547"/>
      <c r="AJ94" s="536"/>
      <c r="AK94" s="538"/>
      <c r="AL94" s="12"/>
      <c r="AM94" s="536"/>
      <c r="AN94" s="536"/>
      <c r="AO94" s="547"/>
      <c r="AP94" s="536"/>
      <c r="AQ94" s="538"/>
      <c r="AR94" s="530"/>
    </row>
    <row r="95" spans="1:44" ht="56.25">
      <c r="A95" s="1008"/>
      <c r="B95" s="1008"/>
      <c r="C95" s="1025"/>
      <c r="D95" s="1024"/>
      <c r="E95" s="1017"/>
      <c r="F95" s="1018"/>
      <c r="G95" s="1017"/>
      <c r="H95" s="539"/>
      <c r="I95" s="539"/>
      <c r="J95" s="536"/>
      <c r="K95" s="47"/>
      <c r="L95" s="52"/>
      <c r="M95" s="537"/>
      <c r="N95" s="49"/>
      <c r="O95" s="49"/>
      <c r="P95" s="536"/>
      <c r="Q95" s="47"/>
      <c r="R95" s="52"/>
      <c r="S95" s="727"/>
      <c r="T95" s="12"/>
      <c r="U95" s="536"/>
      <c r="V95" s="536"/>
      <c r="W95" s="547"/>
      <c r="X95" s="536"/>
      <c r="Y95" s="537"/>
      <c r="Z95" s="1019"/>
      <c r="AA95" s="1019"/>
      <c r="AB95" s="536"/>
      <c r="AC95" s="47"/>
      <c r="AD95" s="52"/>
      <c r="AE95" s="557"/>
      <c r="AF95" s="12"/>
      <c r="AG95" s="536"/>
      <c r="AH95" s="536" t="s">
        <v>93</v>
      </c>
      <c r="AI95" s="547">
        <v>1</v>
      </c>
      <c r="AJ95" s="536" t="s">
        <v>118</v>
      </c>
      <c r="AK95" s="537">
        <v>50</v>
      </c>
      <c r="AL95" s="12"/>
      <c r="AM95" s="536"/>
      <c r="AN95" s="536"/>
      <c r="AO95" s="547"/>
      <c r="AP95" s="536"/>
      <c r="AQ95" s="538"/>
      <c r="AR95" s="530"/>
    </row>
    <row r="96" spans="1:44" ht="56.25">
      <c r="A96" s="536">
        <v>44</v>
      </c>
      <c r="B96" s="536">
        <v>742732</v>
      </c>
      <c r="C96" s="549" t="s">
        <v>165</v>
      </c>
      <c r="D96" s="547">
        <v>0.78</v>
      </c>
      <c r="E96" s="537">
        <v>9658</v>
      </c>
      <c r="F96" s="548">
        <v>0.78</v>
      </c>
      <c r="G96" s="537">
        <v>9658</v>
      </c>
      <c r="H96" s="539"/>
      <c r="I96" s="539"/>
      <c r="J96" s="536"/>
      <c r="K96" s="47"/>
      <c r="L96" s="52"/>
      <c r="M96" s="537"/>
      <c r="N96" s="319" t="s">
        <v>2796</v>
      </c>
      <c r="O96" s="319" t="s">
        <v>2797</v>
      </c>
      <c r="P96" s="536" t="s">
        <v>120</v>
      </c>
      <c r="Q96" s="547">
        <v>1</v>
      </c>
      <c r="R96" s="536" t="s">
        <v>118</v>
      </c>
      <c r="S96" s="725">
        <v>300</v>
      </c>
      <c r="T96" s="12"/>
      <c r="U96" s="536"/>
      <c r="V96" s="536"/>
      <c r="W96" s="547"/>
      <c r="X96" s="536"/>
      <c r="Y96" s="537"/>
      <c r="Z96" s="12"/>
      <c r="AA96" s="536"/>
      <c r="AB96" s="536"/>
      <c r="AC96" s="547"/>
      <c r="AD96" s="536"/>
      <c r="AE96" s="537"/>
      <c r="AF96" s="12"/>
      <c r="AG96" s="536"/>
      <c r="AH96" s="536"/>
      <c r="AI96" s="547"/>
      <c r="AJ96" s="536"/>
      <c r="AK96" s="538"/>
      <c r="AL96" s="49"/>
      <c r="AM96" s="49"/>
      <c r="AN96" s="536"/>
      <c r="AO96" s="47"/>
      <c r="AP96" s="52"/>
      <c r="AQ96" s="538"/>
      <c r="AR96" s="530"/>
    </row>
    <row r="97" spans="1:44" ht="18.75">
      <c r="A97" s="1008">
        <v>45</v>
      </c>
      <c r="B97" s="1008">
        <v>736173</v>
      </c>
      <c r="C97" s="1025" t="s">
        <v>166</v>
      </c>
      <c r="D97" s="1024">
        <v>2.0699999999999998</v>
      </c>
      <c r="E97" s="1017">
        <v>25825</v>
      </c>
      <c r="F97" s="1018">
        <v>2.0699999999999998</v>
      </c>
      <c r="G97" s="1017">
        <v>25825</v>
      </c>
      <c r="H97" s="1019" t="s">
        <v>2710</v>
      </c>
      <c r="I97" s="971" t="s">
        <v>2711</v>
      </c>
      <c r="J97" s="1020" t="s">
        <v>114</v>
      </c>
      <c r="K97" s="558">
        <v>1.7</v>
      </c>
      <c r="L97" s="553" t="s">
        <v>17</v>
      </c>
      <c r="M97" s="1017">
        <v>26100.90755</v>
      </c>
      <c r="N97" s="49"/>
      <c r="O97" s="554"/>
      <c r="P97" s="1008"/>
      <c r="Q97" s="547"/>
      <c r="R97" s="553"/>
      <c r="S97" s="1034"/>
      <c r="T97" s="12"/>
      <c r="U97" s="536"/>
      <c r="V97" s="536"/>
      <c r="W97" s="547"/>
      <c r="X97" s="536"/>
      <c r="Y97" s="537"/>
      <c r="Z97" s="12"/>
      <c r="AA97" s="536"/>
      <c r="AB97" s="536"/>
      <c r="AC97" s="547"/>
      <c r="AD97" s="536"/>
      <c r="AE97" s="537"/>
      <c r="AF97" s="12"/>
      <c r="AG97" s="536"/>
      <c r="AH97" s="536"/>
      <c r="AI97" s="547"/>
      <c r="AJ97" s="536"/>
      <c r="AK97" s="538"/>
      <c r="AL97" s="12"/>
      <c r="AM97" s="536"/>
      <c r="AN97" s="536"/>
      <c r="AO97" s="547"/>
      <c r="AP97" s="536"/>
      <c r="AQ97" s="538"/>
      <c r="AR97" s="530"/>
    </row>
    <row r="98" spans="1:44" ht="18.75">
      <c r="A98" s="1008"/>
      <c r="B98" s="1008"/>
      <c r="C98" s="1025"/>
      <c r="D98" s="1024"/>
      <c r="E98" s="1017"/>
      <c r="F98" s="1018"/>
      <c r="G98" s="1017"/>
      <c r="H98" s="1019"/>
      <c r="I98" s="971"/>
      <c r="J98" s="1020"/>
      <c r="K98" s="51">
        <v>20818</v>
      </c>
      <c r="L98" s="43" t="s">
        <v>32</v>
      </c>
      <c r="M98" s="1017"/>
      <c r="N98" s="49"/>
      <c r="O98" s="554"/>
      <c r="P98" s="1008"/>
      <c r="Q98" s="539"/>
      <c r="R98" s="43"/>
      <c r="S98" s="1035"/>
      <c r="T98" s="12"/>
      <c r="U98" s="536"/>
      <c r="V98" s="536"/>
      <c r="W98" s="547"/>
      <c r="X98" s="536"/>
      <c r="Y98" s="537"/>
      <c r="Z98" s="12"/>
      <c r="AA98" s="536"/>
      <c r="AB98" s="536"/>
      <c r="AC98" s="547"/>
      <c r="AD98" s="536"/>
      <c r="AE98" s="537"/>
      <c r="AF98" s="12"/>
      <c r="AG98" s="536"/>
      <c r="AH98" s="536"/>
      <c r="AI98" s="547"/>
      <c r="AJ98" s="536"/>
      <c r="AK98" s="538"/>
      <c r="AL98" s="12"/>
      <c r="AM98" s="536"/>
      <c r="AN98" s="536"/>
      <c r="AO98" s="547"/>
      <c r="AP98" s="536"/>
      <c r="AQ98" s="538"/>
      <c r="AR98" s="530"/>
    </row>
    <row r="99" spans="1:44" ht="18.75">
      <c r="A99" s="1008"/>
      <c r="B99" s="1008"/>
      <c r="C99" s="1025"/>
      <c r="D99" s="1024"/>
      <c r="E99" s="1017"/>
      <c r="F99" s="1018"/>
      <c r="G99" s="1017"/>
      <c r="H99" s="539"/>
      <c r="I99" s="312"/>
      <c r="J99" s="536"/>
      <c r="K99" s="51"/>
      <c r="L99" s="43"/>
      <c r="M99" s="537"/>
      <c r="N99" s="319"/>
      <c r="O99" s="319"/>
      <c r="P99" s="1028"/>
      <c r="Q99" s="1029"/>
      <c r="R99" s="1037"/>
      <c r="S99" s="1040"/>
      <c r="T99" s="12"/>
      <c r="U99" s="536"/>
      <c r="V99" s="536"/>
      <c r="W99" s="547"/>
      <c r="X99" s="536"/>
      <c r="Y99" s="537"/>
      <c r="Z99" s="12"/>
      <c r="AA99" s="536"/>
      <c r="AB99" s="536"/>
      <c r="AC99" s="547"/>
      <c r="AD99" s="536"/>
      <c r="AE99" s="537"/>
      <c r="AF99" s="12"/>
      <c r="AG99" s="536"/>
      <c r="AH99" s="536"/>
      <c r="AI99" s="547"/>
      <c r="AJ99" s="536"/>
      <c r="AK99" s="538"/>
      <c r="AL99" s="12"/>
      <c r="AM99" s="536"/>
      <c r="AN99" s="536"/>
      <c r="AO99" s="547"/>
      <c r="AP99" s="536"/>
      <c r="AQ99" s="538"/>
      <c r="AR99" s="530"/>
    </row>
    <row r="100" spans="1:44" ht="18.75">
      <c r="A100" s="1008"/>
      <c r="B100" s="1008"/>
      <c r="C100" s="1025"/>
      <c r="D100" s="1024"/>
      <c r="E100" s="1017"/>
      <c r="F100" s="1018"/>
      <c r="G100" s="1017"/>
      <c r="H100" s="539"/>
      <c r="I100" s="312"/>
      <c r="J100" s="536"/>
      <c r="K100" s="51"/>
      <c r="L100" s="43"/>
      <c r="M100" s="537"/>
      <c r="N100" s="319"/>
      <c r="O100" s="319"/>
      <c r="P100" s="1028"/>
      <c r="Q100" s="1029"/>
      <c r="R100" s="1037"/>
      <c r="S100" s="1041"/>
      <c r="T100" s="12"/>
      <c r="U100" s="536"/>
      <c r="V100" s="536"/>
      <c r="W100" s="547"/>
      <c r="X100" s="536"/>
      <c r="Y100" s="537"/>
      <c r="Z100" s="12"/>
      <c r="AA100" s="536"/>
      <c r="AB100" s="536"/>
      <c r="AC100" s="547"/>
      <c r="AD100" s="536"/>
      <c r="AE100" s="537"/>
      <c r="AF100" s="12"/>
      <c r="AG100" s="536"/>
      <c r="AH100" s="536"/>
      <c r="AI100" s="547"/>
      <c r="AJ100" s="536"/>
      <c r="AK100" s="538"/>
      <c r="AL100" s="12"/>
      <c r="AM100" s="536"/>
      <c r="AN100" s="536"/>
      <c r="AO100" s="547"/>
      <c r="AP100" s="536"/>
      <c r="AQ100" s="538"/>
      <c r="AR100" s="530"/>
    </row>
    <row r="101" spans="1:44" ht="56.25">
      <c r="A101" s="536">
        <v>46</v>
      </c>
      <c r="B101" s="536">
        <v>740109</v>
      </c>
      <c r="C101" s="546" t="s">
        <v>167</v>
      </c>
      <c r="D101" s="547">
        <v>0.28000000000000003</v>
      </c>
      <c r="E101" s="537">
        <v>2625</v>
      </c>
      <c r="F101" s="548">
        <v>0.28000000000000003</v>
      </c>
      <c r="G101" s="537">
        <v>2625</v>
      </c>
      <c r="H101" s="539"/>
      <c r="I101" s="312"/>
      <c r="J101" s="536"/>
      <c r="K101" s="42"/>
      <c r="L101" s="50"/>
      <c r="M101" s="537"/>
      <c r="N101" s="538"/>
      <c r="O101" s="536"/>
      <c r="P101" s="536"/>
      <c r="Q101" s="547"/>
      <c r="R101" s="536"/>
      <c r="S101" s="725"/>
      <c r="T101" s="12"/>
      <c r="U101" s="536"/>
      <c r="V101" s="536"/>
      <c r="W101" s="547"/>
      <c r="X101" s="536"/>
      <c r="Y101" s="537"/>
      <c r="Z101" s="12"/>
      <c r="AA101" s="536"/>
      <c r="AB101" s="536"/>
      <c r="AC101" s="547"/>
      <c r="AD101" s="536"/>
      <c r="AE101" s="537"/>
      <c r="AF101" s="12"/>
      <c r="AG101" s="536"/>
      <c r="AH101" s="536"/>
      <c r="AI101" s="547"/>
      <c r="AJ101" s="536"/>
      <c r="AK101" s="538"/>
      <c r="AL101" s="971"/>
      <c r="AM101" s="971"/>
      <c r="AN101" s="536" t="s">
        <v>93</v>
      </c>
      <c r="AO101" s="547">
        <v>1</v>
      </c>
      <c r="AP101" s="536" t="s">
        <v>118</v>
      </c>
      <c r="AQ101" s="537">
        <v>50</v>
      </c>
      <c r="AR101" s="530"/>
    </row>
    <row r="102" spans="1:44" ht="18.75">
      <c r="A102" s="1008">
        <v>47</v>
      </c>
      <c r="B102" s="1008">
        <v>749705</v>
      </c>
      <c r="C102" s="1025" t="s">
        <v>168</v>
      </c>
      <c r="D102" s="1024">
        <v>0.23</v>
      </c>
      <c r="E102" s="1017">
        <v>2186</v>
      </c>
      <c r="F102" s="1018">
        <v>0.23</v>
      </c>
      <c r="G102" s="1017">
        <v>2186</v>
      </c>
      <c r="H102" s="1019" t="s">
        <v>60</v>
      </c>
      <c r="I102" s="971" t="s">
        <v>2712</v>
      </c>
      <c r="J102" s="1020" t="s">
        <v>114</v>
      </c>
      <c r="K102" s="558">
        <v>0.23</v>
      </c>
      <c r="L102" s="553" t="s">
        <v>17</v>
      </c>
      <c r="M102" s="1017">
        <v>2584.1058600000001</v>
      </c>
      <c r="N102" s="538"/>
      <c r="O102" s="536"/>
      <c r="P102" s="536"/>
      <c r="Q102" s="547"/>
      <c r="R102" s="536"/>
      <c r="S102" s="725"/>
      <c r="T102" s="12"/>
      <c r="U102" s="536"/>
      <c r="V102" s="536"/>
      <c r="W102" s="547"/>
      <c r="X102" s="536"/>
      <c r="Y102" s="537"/>
      <c r="Z102" s="12"/>
      <c r="AA102" s="536"/>
      <c r="AB102" s="536"/>
      <c r="AC102" s="547"/>
      <c r="AD102" s="536"/>
      <c r="AE102" s="537"/>
      <c r="AF102" s="12"/>
      <c r="AG102" s="536"/>
      <c r="AH102" s="536"/>
      <c r="AI102" s="547"/>
      <c r="AJ102" s="536"/>
      <c r="AK102" s="538"/>
      <c r="AL102" s="12"/>
      <c r="AM102" s="536"/>
      <c r="AN102" s="536"/>
      <c r="AO102" s="547"/>
      <c r="AP102" s="536"/>
      <c r="AQ102" s="538"/>
      <c r="AR102" s="530"/>
    </row>
    <row r="103" spans="1:44" ht="18.75">
      <c r="A103" s="1008"/>
      <c r="B103" s="1008"/>
      <c r="C103" s="1025"/>
      <c r="D103" s="1024"/>
      <c r="E103" s="1017"/>
      <c r="F103" s="1018"/>
      <c r="G103" s="1017"/>
      <c r="H103" s="1019"/>
      <c r="I103" s="971"/>
      <c r="J103" s="1020"/>
      <c r="K103" s="51">
        <v>2186</v>
      </c>
      <c r="L103" s="43" t="s">
        <v>32</v>
      </c>
      <c r="M103" s="1017"/>
      <c r="N103" s="538"/>
      <c r="O103" s="536"/>
      <c r="P103" s="536"/>
      <c r="Q103" s="547"/>
      <c r="R103" s="536"/>
      <c r="S103" s="725"/>
      <c r="T103" s="12"/>
      <c r="U103" s="536"/>
      <c r="V103" s="536"/>
      <c r="W103" s="547"/>
      <c r="X103" s="536"/>
      <c r="Y103" s="537"/>
      <c r="Z103" s="12"/>
      <c r="AA103" s="536"/>
      <c r="AB103" s="536"/>
      <c r="AC103" s="547"/>
      <c r="AD103" s="536"/>
      <c r="AE103" s="537"/>
      <c r="AF103" s="12"/>
      <c r="AG103" s="536"/>
      <c r="AH103" s="536"/>
      <c r="AI103" s="547"/>
      <c r="AJ103" s="536"/>
      <c r="AK103" s="538"/>
      <c r="AL103" s="12"/>
      <c r="AM103" s="536"/>
      <c r="AN103" s="536"/>
      <c r="AO103" s="547"/>
      <c r="AP103" s="536"/>
      <c r="AQ103" s="538"/>
      <c r="AR103" s="530"/>
    </row>
    <row r="104" spans="1:44" ht="56.25">
      <c r="A104" s="536">
        <v>48</v>
      </c>
      <c r="B104" s="536">
        <v>740565</v>
      </c>
      <c r="C104" s="546" t="s">
        <v>2798</v>
      </c>
      <c r="D104" s="547">
        <v>0.47</v>
      </c>
      <c r="E104" s="537">
        <v>3791</v>
      </c>
      <c r="F104" s="548">
        <v>0.47</v>
      </c>
      <c r="G104" s="537">
        <v>3791</v>
      </c>
      <c r="H104" s="536"/>
      <c r="I104" s="312"/>
      <c r="J104" s="536"/>
      <c r="K104" s="42"/>
      <c r="L104" s="50"/>
      <c r="M104" s="537"/>
      <c r="N104" s="538"/>
      <c r="O104" s="536"/>
      <c r="P104" s="536"/>
      <c r="Q104" s="547"/>
      <c r="R104" s="536"/>
      <c r="S104" s="725"/>
      <c r="T104" s="12"/>
      <c r="U104" s="536"/>
      <c r="V104" s="536"/>
      <c r="W104" s="547"/>
      <c r="X104" s="536"/>
      <c r="Y104" s="537"/>
      <c r="Z104" s="12"/>
      <c r="AA104" s="536"/>
      <c r="AB104" s="536"/>
      <c r="AC104" s="547"/>
      <c r="AD104" s="536"/>
      <c r="AE104" s="537"/>
      <c r="AF104" s="12"/>
      <c r="AG104" s="536"/>
      <c r="AH104" s="536" t="s">
        <v>93</v>
      </c>
      <c r="AI104" s="547">
        <v>1</v>
      </c>
      <c r="AJ104" s="536" t="s">
        <v>118</v>
      </c>
      <c r="AK104" s="537">
        <v>50</v>
      </c>
      <c r="AL104" s="12"/>
      <c r="AM104" s="536"/>
      <c r="AN104" s="536"/>
      <c r="AO104" s="547"/>
      <c r="AP104" s="536"/>
      <c r="AQ104" s="538"/>
      <c r="AR104" s="530"/>
    </row>
    <row r="105" spans="1:44" ht="56.25">
      <c r="A105" s="536">
        <v>49</v>
      </c>
      <c r="B105" s="536">
        <v>735096</v>
      </c>
      <c r="C105" s="546" t="s">
        <v>170</v>
      </c>
      <c r="D105" s="547">
        <v>1.29</v>
      </c>
      <c r="E105" s="537">
        <v>19638</v>
      </c>
      <c r="F105" s="548">
        <v>1.29</v>
      </c>
      <c r="G105" s="537">
        <v>19638</v>
      </c>
      <c r="H105" s="536"/>
      <c r="I105" s="312"/>
      <c r="J105" s="536"/>
      <c r="K105" s="42"/>
      <c r="L105" s="50"/>
      <c r="M105" s="537"/>
      <c r="N105" s="319" t="s">
        <v>2866</v>
      </c>
      <c r="O105" s="319" t="s">
        <v>2867</v>
      </c>
      <c r="P105" s="536" t="s">
        <v>120</v>
      </c>
      <c r="Q105" s="547">
        <v>1</v>
      </c>
      <c r="R105" s="536" t="s">
        <v>118</v>
      </c>
      <c r="S105" s="725">
        <v>500</v>
      </c>
      <c r="T105" s="12"/>
      <c r="U105" s="536"/>
      <c r="V105" s="536"/>
      <c r="W105" s="547"/>
      <c r="X105" s="536"/>
      <c r="Y105" s="537"/>
      <c r="Z105" s="12"/>
      <c r="AA105" s="536"/>
      <c r="AB105" s="536"/>
      <c r="AC105" s="547"/>
      <c r="AD105" s="536"/>
      <c r="AE105" s="537"/>
      <c r="AF105" s="12"/>
      <c r="AG105" s="536"/>
      <c r="AH105" s="536"/>
      <c r="AI105" s="547"/>
      <c r="AJ105" s="536"/>
      <c r="AK105" s="538"/>
      <c r="AL105" s="12"/>
      <c r="AM105" s="536"/>
      <c r="AN105" s="536"/>
      <c r="AO105" s="547"/>
      <c r="AP105" s="536"/>
      <c r="AQ105" s="538"/>
      <c r="AR105" s="530"/>
    </row>
    <row r="106" spans="1:44" ht="18.75">
      <c r="A106" s="1008">
        <v>50</v>
      </c>
      <c r="B106" s="1008">
        <v>735096</v>
      </c>
      <c r="C106" s="1025" t="s">
        <v>171</v>
      </c>
      <c r="D106" s="1024">
        <v>4.43</v>
      </c>
      <c r="E106" s="1017">
        <v>77488</v>
      </c>
      <c r="F106" s="1018">
        <v>4.43</v>
      </c>
      <c r="G106" s="1017">
        <v>77488</v>
      </c>
      <c r="H106" s="539"/>
      <c r="I106" s="539"/>
      <c r="J106" s="56"/>
      <c r="K106" s="47"/>
      <c r="L106" s="553"/>
      <c r="M106" s="537"/>
      <c r="N106" s="49"/>
      <c r="O106" s="49"/>
      <c r="P106" s="1020" t="s">
        <v>114</v>
      </c>
      <c r="Q106" s="558">
        <v>1.0580000000000001</v>
      </c>
      <c r="R106" s="553" t="s">
        <v>17</v>
      </c>
      <c r="S106" s="1034">
        <v>23552.29</v>
      </c>
      <c r="T106" s="1019"/>
      <c r="U106" s="1019"/>
      <c r="V106" s="56"/>
      <c r="W106" s="47"/>
      <c r="X106" s="553"/>
      <c r="Y106" s="537"/>
      <c r="Z106" s="1019"/>
      <c r="AA106" s="1019"/>
      <c r="AB106" s="56"/>
      <c r="AC106" s="47"/>
      <c r="AD106" s="553"/>
      <c r="AE106" s="537"/>
      <c r="AF106" s="12"/>
      <c r="AG106" s="536"/>
      <c r="AH106" s="536"/>
      <c r="AI106" s="547"/>
      <c r="AJ106" s="536"/>
      <c r="AK106" s="538"/>
      <c r="AL106" s="12"/>
      <c r="AM106" s="536"/>
      <c r="AN106" s="536"/>
      <c r="AO106" s="547"/>
      <c r="AP106" s="536"/>
      <c r="AQ106" s="538"/>
      <c r="AR106" s="530"/>
    </row>
    <row r="107" spans="1:44" ht="18.75">
      <c r="A107" s="1008"/>
      <c r="B107" s="1008"/>
      <c r="C107" s="1025"/>
      <c r="D107" s="1024"/>
      <c r="E107" s="1017"/>
      <c r="F107" s="1018"/>
      <c r="G107" s="1017"/>
      <c r="H107" s="539"/>
      <c r="I107" s="312"/>
      <c r="J107" s="536"/>
      <c r="K107" s="42"/>
      <c r="L107" s="50"/>
      <c r="M107" s="537"/>
      <c r="N107" s="318"/>
      <c r="O107" s="549"/>
      <c r="P107" s="1020"/>
      <c r="Q107" s="51">
        <v>18500</v>
      </c>
      <c r="R107" s="43" t="s">
        <v>32</v>
      </c>
      <c r="S107" s="1035"/>
      <c r="T107" s="12"/>
      <c r="U107" s="536"/>
      <c r="V107" s="536"/>
      <c r="W107" s="547"/>
      <c r="X107" s="536"/>
      <c r="Y107" s="537"/>
      <c r="Z107" s="12"/>
      <c r="AA107" s="536"/>
      <c r="AB107" s="536"/>
      <c r="AC107" s="547"/>
      <c r="AD107" s="536"/>
      <c r="AE107" s="537"/>
      <c r="AF107" s="12"/>
      <c r="AG107" s="536"/>
      <c r="AH107" s="536"/>
      <c r="AI107" s="547"/>
      <c r="AJ107" s="536"/>
      <c r="AK107" s="538"/>
      <c r="AL107" s="12"/>
      <c r="AM107" s="536"/>
      <c r="AN107" s="536"/>
      <c r="AO107" s="547"/>
      <c r="AP107" s="536"/>
      <c r="AQ107" s="538"/>
      <c r="AR107" s="530"/>
    </row>
    <row r="108" spans="1:44" ht="56.25">
      <c r="A108" s="1008"/>
      <c r="B108" s="1008"/>
      <c r="C108" s="1025"/>
      <c r="D108" s="1024"/>
      <c r="E108" s="1017"/>
      <c r="F108" s="1018"/>
      <c r="G108" s="1017"/>
      <c r="H108" s="539"/>
      <c r="I108" s="312"/>
      <c r="J108" s="536"/>
      <c r="K108" s="42"/>
      <c r="L108" s="50"/>
      <c r="M108" s="537"/>
      <c r="N108" s="318" t="s">
        <v>2799</v>
      </c>
      <c r="O108" s="318" t="s">
        <v>2800</v>
      </c>
      <c r="P108" s="536" t="s">
        <v>120</v>
      </c>
      <c r="Q108" s="547">
        <v>1</v>
      </c>
      <c r="R108" s="536" t="s">
        <v>118</v>
      </c>
      <c r="S108" s="725">
        <v>310</v>
      </c>
      <c r="T108" s="12"/>
      <c r="U108" s="536"/>
      <c r="V108" s="536"/>
      <c r="W108" s="547"/>
      <c r="X108" s="536"/>
      <c r="Y108" s="537"/>
      <c r="Z108" s="12"/>
      <c r="AA108" s="536"/>
      <c r="AB108" s="536"/>
      <c r="AC108" s="547"/>
      <c r="AD108" s="536"/>
      <c r="AE108" s="537"/>
      <c r="AF108" s="12"/>
      <c r="AG108" s="536"/>
      <c r="AH108" s="536"/>
      <c r="AI108" s="547"/>
      <c r="AJ108" s="536"/>
      <c r="AK108" s="538"/>
      <c r="AL108" s="12"/>
      <c r="AM108" s="536"/>
      <c r="AN108" s="536"/>
      <c r="AO108" s="547"/>
      <c r="AP108" s="536"/>
      <c r="AQ108" s="538"/>
      <c r="AR108" s="530"/>
    </row>
    <row r="109" spans="1:44" ht="56.25">
      <c r="A109" s="1008">
        <v>51</v>
      </c>
      <c r="B109" s="1008">
        <v>739026</v>
      </c>
      <c r="C109" s="1025" t="s">
        <v>172</v>
      </c>
      <c r="D109" s="1024">
        <v>1.04</v>
      </c>
      <c r="E109" s="1017">
        <v>25387</v>
      </c>
      <c r="F109" s="1018">
        <v>1.04</v>
      </c>
      <c r="G109" s="1017">
        <v>25387</v>
      </c>
      <c r="H109" s="1019" t="s">
        <v>60</v>
      </c>
      <c r="I109" s="971" t="s">
        <v>2713</v>
      </c>
      <c r="J109" s="1020" t="s">
        <v>114</v>
      </c>
      <c r="K109" s="558">
        <v>0.44</v>
      </c>
      <c r="L109" s="553" t="s">
        <v>17</v>
      </c>
      <c r="M109" s="1017">
        <v>14293.87334</v>
      </c>
      <c r="N109" s="318" t="s">
        <v>2856</v>
      </c>
      <c r="O109" s="318" t="s">
        <v>2856</v>
      </c>
      <c r="P109" s="536" t="s">
        <v>120</v>
      </c>
      <c r="Q109" s="547">
        <v>1</v>
      </c>
      <c r="R109" s="536" t="s">
        <v>118</v>
      </c>
      <c r="S109" s="725">
        <v>500</v>
      </c>
      <c r="T109" s="1030"/>
      <c r="U109" s="1030"/>
      <c r="V109" s="1028"/>
      <c r="W109" s="1029"/>
      <c r="X109" s="1037"/>
      <c r="Y109" s="1033"/>
      <c r="Z109" s="12"/>
      <c r="AA109" s="536"/>
      <c r="AB109" s="536"/>
      <c r="AC109" s="547"/>
      <c r="AD109" s="536"/>
      <c r="AE109" s="537"/>
      <c r="AF109" s="12"/>
      <c r="AG109" s="536"/>
      <c r="AH109" s="902" t="s">
        <v>31</v>
      </c>
      <c r="AI109" s="547">
        <v>0.26</v>
      </c>
      <c r="AJ109" s="553" t="s">
        <v>17</v>
      </c>
      <c r="AK109" s="903">
        <v>11322.45</v>
      </c>
      <c r="AL109" s="12"/>
      <c r="AM109" s="536"/>
      <c r="AN109" s="536"/>
      <c r="AO109" s="547"/>
      <c r="AP109" s="536"/>
      <c r="AQ109" s="538"/>
      <c r="AR109" s="530"/>
    </row>
    <row r="110" spans="1:44" ht="18.75">
      <c r="A110" s="1008"/>
      <c r="B110" s="1008"/>
      <c r="C110" s="1025"/>
      <c r="D110" s="1024"/>
      <c r="E110" s="1017"/>
      <c r="F110" s="1018"/>
      <c r="G110" s="1017"/>
      <c r="H110" s="1019"/>
      <c r="I110" s="971"/>
      <c r="J110" s="1020"/>
      <c r="K110" s="51">
        <v>11561</v>
      </c>
      <c r="L110" s="43" t="s">
        <v>32</v>
      </c>
      <c r="M110" s="1017"/>
      <c r="N110" s="319"/>
      <c r="O110" s="319"/>
      <c r="P110" s="536"/>
      <c r="Q110" s="547"/>
      <c r="R110" s="536"/>
      <c r="S110" s="725"/>
      <c r="T110" s="1030"/>
      <c r="U110" s="1030"/>
      <c r="V110" s="1028"/>
      <c r="W110" s="1029"/>
      <c r="X110" s="1037"/>
      <c r="Y110" s="1033"/>
      <c r="Z110" s="12"/>
      <c r="AA110" s="536"/>
      <c r="AB110" s="536"/>
      <c r="AC110" s="547"/>
      <c r="AD110" s="536"/>
      <c r="AE110" s="537"/>
      <c r="AF110" s="12"/>
      <c r="AG110" s="536"/>
      <c r="AH110" s="902"/>
      <c r="AI110" s="536">
        <v>8387</v>
      </c>
      <c r="AJ110" s="43" t="s">
        <v>32</v>
      </c>
      <c r="AK110" s="903"/>
      <c r="AL110" s="12"/>
      <c r="AM110" s="536"/>
      <c r="AN110" s="536"/>
      <c r="AO110" s="547"/>
      <c r="AP110" s="536"/>
      <c r="AQ110" s="538"/>
      <c r="AR110" s="530"/>
    </row>
    <row r="111" spans="1:44" ht="18.75">
      <c r="A111" s="1008"/>
      <c r="B111" s="1008"/>
      <c r="C111" s="1025"/>
      <c r="D111" s="1024"/>
      <c r="E111" s="1017"/>
      <c r="F111" s="1018"/>
      <c r="G111" s="1017"/>
      <c r="H111" s="539"/>
      <c r="I111" s="539"/>
      <c r="J111" s="536"/>
      <c r="K111" s="47"/>
      <c r="L111" s="50"/>
      <c r="M111" s="537"/>
      <c r="N111" s="49"/>
      <c r="O111" s="49"/>
      <c r="P111" s="536"/>
      <c r="Q111" s="47"/>
      <c r="R111" s="50"/>
      <c r="S111" s="726"/>
      <c r="T111" s="594"/>
      <c r="U111" s="594"/>
      <c r="V111" s="555"/>
      <c r="W111" s="556"/>
      <c r="X111" s="553"/>
      <c r="Y111" s="557"/>
      <c r="Z111" s="1019"/>
      <c r="AA111" s="1019"/>
      <c r="AB111" s="536"/>
      <c r="AC111" s="47"/>
      <c r="AD111" s="50"/>
      <c r="AE111" s="537"/>
      <c r="AF111" s="12"/>
      <c r="AG111" s="536"/>
      <c r="AH111" s="560"/>
      <c r="AI111" s="536"/>
      <c r="AJ111" s="43"/>
      <c r="AK111" s="538"/>
      <c r="AL111" s="12"/>
      <c r="AM111" s="536"/>
      <c r="AN111" s="536"/>
      <c r="AO111" s="547"/>
      <c r="AP111" s="536"/>
      <c r="AQ111" s="538"/>
      <c r="AR111" s="530"/>
    </row>
    <row r="112" spans="1:44" ht="56.25">
      <c r="A112" s="1008">
        <v>52</v>
      </c>
      <c r="B112" s="1008">
        <v>739026</v>
      </c>
      <c r="C112" s="1025" t="s">
        <v>173</v>
      </c>
      <c r="D112" s="1024">
        <v>3.68</v>
      </c>
      <c r="E112" s="1017">
        <v>64103</v>
      </c>
      <c r="F112" s="1018">
        <v>3.68</v>
      </c>
      <c r="G112" s="1017">
        <v>64103</v>
      </c>
      <c r="H112" s="539"/>
      <c r="I112" s="539"/>
      <c r="J112" s="56"/>
      <c r="K112" s="57"/>
      <c r="L112" s="553"/>
      <c r="M112" s="537"/>
      <c r="N112" s="318" t="s">
        <v>2801</v>
      </c>
      <c r="O112" s="318" t="s">
        <v>2802</v>
      </c>
      <c r="P112" s="536" t="s">
        <v>120</v>
      </c>
      <c r="Q112" s="547">
        <v>1</v>
      </c>
      <c r="R112" s="536" t="s">
        <v>118</v>
      </c>
      <c r="S112" s="725">
        <v>50</v>
      </c>
      <c r="T112" s="12"/>
      <c r="U112" s="536"/>
      <c r="V112" s="536"/>
      <c r="W112" s="547"/>
      <c r="X112" s="536"/>
      <c r="Y112" s="537"/>
      <c r="Z112" s="12"/>
      <c r="AA112" s="536"/>
      <c r="AB112" s="536"/>
      <c r="AC112" s="547"/>
      <c r="AD112" s="536"/>
      <c r="AE112" s="537"/>
      <c r="AF112" s="12"/>
      <c r="AG112" s="536"/>
      <c r="AH112" s="902"/>
      <c r="AI112" s="547"/>
      <c r="AJ112" s="553"/>
      <c r="AK112" s="903"/>
      <c r="AL112" s="971"/>
      <c r="AM112" s="971"/>
      <c r="AN112" s="1028"/>
      <c r="AO112" s="1029"/>
      <c r="AP112" s="1028"/>
      <c r="AQ112" s="1030"/>
      <c r="AR112" s="530"/>
    </row>
    <row r="113" spans="1:44" ht="56.25">
      <c r="A113" s="1008"/>
      <c r="B113" s="1008"/>
      <c r="C113" s="1025"/>
      <c r="D113" s="1024"/>
      <c r="E113" s="1017"/>
      <c r="F113" s="1018"/>
      <c r="G113" s="1017"/>
      <c r="H113" s="539"/>
      <c r="I113" s="539"/>
      <c r="J113" s="56"/>
      <c r="K113" s="57"/>
      <c r="L113" s="553"/>
      <c r="M113" s="537"/>
      <c r="N113" s="318" t="s">
        <v>2803</v>
      </c>
      <c r="O113" s="318" t="s">
        <v>2804</v>
      </c>
      <c r="P113" s="536" t="s">
        <v>120</v>
      </c>
      <c r="Q113" s="547">
        <v>1</v>
      </c>
      <c r="R113" s="536" t="s">
        <v>118</v>
      </c>
      <c r="S113" s="725">
        <v>100</v>
      </c>
      <c r="T113" s="12"/>
      <c r="U113" s="536"/>
      <c r="V113" s="536"/>
      <c r="W113" s="547"/>
      <c r="X113" s="536"/>
      <c r="Y113" s="537"/>
      <c r="Z113" s="12"/>
      <c r="AA113" s="536"/>
      <c r="AB113" s="536"/>
      <c r="AC113" s="547"/>
      <c r="AD113" s="536"/>
      <c r="AE113" s="537"/>
      <c r="AF113" s="12"/>
      <c r="AG113" s="536"/>
      <c r="AH113" s="902"/>
      <c r="AI113" s="547"/>
      <c r="AJ113" s="553"/>
      <c r="AK113" s="903"/>
      <c r="AL113" s="971"/>
      <c r="AM113" s="971"/>
      <c r="AN113" s="1028"/>
      <c r="AO113" s="1029"/>
      <c r="AP113" s="1028"/>
      <c r="AQ113" s="1030"/>
      <c r="AR113" s="530"/>
    </row>
    <row r="114" spans="1:44" ht="56.25">
      <c r="A114" s="1008"/>
      <c r="B114" s="1008"/>
      <c r="C114" s="1025"/>
      <c r="D114" s="1024"/>
      <c r="E114" s="1017"/>
      <c r="F114" s="1018"/>
      <c r="G114" s="1017"/>
      <c r="H114" s="539"/>
      <c r="I114" s="312"/>
      <c r="J114" s="536"/>
      <c r="K114" s="42"/>
      <c r="L114" s="50"/>
      <c r="M114" s="537"/>
      <c r="N114" s="318" t="s">
        <v>2805</v>
      </c>
      <c r="O114" s="318" t="s">
        <v>2806</v>
      </c>
      <c r="P114" s="536" t="s">
        <v>120</v>
      </c>
      <c r="Q114" s="547">
        <v>1</v>
      </c>
      <c r="R114" s="536" t="s">
        <v>118</v>
      </c>
      <c r="S114" s="725">
        <v>50</v>
      </c>
      <c r="T114" s="12"/>
      <c r="U114" s="536"/>
      <c r="V114" s="536"/>
      <c r="W114" s="547"/>
      <c r="X114" s="536"/>
      <c r="Y114" s="537"/>
      <c r="Z114" s="12"/>
      <c r="AA114" s="536"/>
      <c r="AB114" s="536"/>
      <c r="AC114" s="547"/>
      <c r="AD114" s="536"/>
      <c r="AE114" s="537"/>
      <c r="AF114" s="12"/>
      <c r="AG114" s="536"/>
      <c r="AH114" s="902"/>
      <c r="AI114" s="536"/>
      <c r="AJ114" s="43"/>
      <c r="AK114" s="903"/>
      <c r="AL114" s="971"/>
      <c r="AM114" s="971"/>
      <c r="AN114" s="1028"/>
      <c r="AO114" s="1029"/>
      <c r="AP114" s="1028"/>
      <c r="AQ114" s="1030"/>
      <c r="AR114" s="530"/>
    </row>
    <row r="115" spans="1:44" ht="56.25">
      <c r="A115" s="536">
        <v>53</v>
      </c>
      <c r="B115" s="536">
        <v>744948</v>
      </c>
      <c r="C115" s="546" t="s">
        <v>174</v>
      </c>
      <c r="D115" s="547">
        <v>0.48</v>
      </c>
      <c r="E115" s="537">
        <v>10000</v>
      </c>
      <c r="F115" s="548">
        <v>0.48</v>
      </c>
      <c r="G115" s="537">
        <v>10000</v>
      </c>
      <c r="H115" s="539"/>
      <c r="I115" s="539"/>
      <c r="J115" s="56"/>
      <c r="K115" s="57"/>
      <c r="L115" s="553"/>
      <c r="M115" s="537"/>
      <c r="N115" s="49"/>
      <c r="O115" s="49"/>
      <c r="P115" s="56"/>
      <c r="Q115" s="57"/>
      <c r="R115" s="553"/>
      <c r="S115" s="725"/>
      <c r="T115" s="12"/>
      <c r="U115" s="536"/>
      <c r="V115" s="536"/>
      <c r="W115" s="547"/>
      <c r="X115" s="536"/>
      <c r="Y115" s="537"/>
      <c r="Z115" s="12"/>
      <c r="AA115" s="536"/>
      <c r="AB115" s="536"/>
      <c r="AC115" s="547"/>
      <c r="AD115" s="536"/>
      <c r="AE115" s="537"/>
      <c r="AF115" s="12"/>
      <c r="AG115" s="536"/>
      <c r="AH115" s="536" t="s">
        <v>93</v>
      </c>
      <c r="AI115" s="547">
        <v>1</v>
      </c>
      <c r="AJ115" s="536" t="s">
        <v>118</v>
      </c>
      <c r="AK115" s="537">
        <v>50</v>
      </c>
      <c r="AL115" s="1032"/>
      <c r="AM115" s="1032"/>
      <c r="AN115" s="555"/>
      <c r="AO115" s="556"/>
      <c r="AP115" s="555"/>
      <c r="AQ115" s="594"/>
      <c r="AR115" s="530"/>
    </row>
    <row r="116" spans="1:44" ht="18.75">
      <c r="A116" s="1008">
        <v>54</v>
      </c>
      <c r="B116" s="1008">
        <v>742694</v>
      </c>
      <c r="C116" s="1025" t="s">
        <v>175</v>
      </c>
      <c r="D116" s="1024">
        <v>1.3836999999999999</v>
      </c>
      <c r="E116" s="1017">
        <v>16466</v>
      </c>
      <c r="F116" s="1018">
        <v>1.3836999999999999</v>
      </c>
      <c r="G116" s="1017">
        <v>16466</v>
      </c>
      <c r="H116" s="1019" t="s">
        <v>2714</v>
      </c>
      <c r="I116" s="971" t="s">
        <v>2715</v>
      </c>
      <c r="J116" s="1020" t="s">
        <v>114</v>
      </c>
      <c r="K116" s="558">
        <v>1.05</v>
      </c>
      <c r="L116" s="553" t="s">
        <v>17</v>
      </c>
      <c r="M116" s="1017">
        <v>16227.12653</v>
      </c>
      <c r="N116" s="538"/>
      <c r="O116" s="536"/>
      <c r="P116" s="536"/>
      <c r="Q116" s="547"/>
      <c r="R116" s="536"/>
      <c r="S116" s="725"/>
      <c r="T116" s="12"/>
      <c r="U116" s="536"/>
      <c r="V116" s="536"/>
      <c r="W116" s="547"/>
      <c r="X116" s="536"/>
      <c r="Y116" s="537"/>
      <c r="Z116" s="12"/>
      <c r="AA116" s="536"/>
      <c r="AB116" s="536"/>
      <c r="AC116" s="547"/>
      <c r="AD116" s="536"/>
      <c r="AE116" s="537"/>
      <c r="AF116" s="12"/>
      <c r="AG116" s="536"/>
      <c r="AH116" s="536"/>
      <c r="AI116" s="547"/>
      <c r="AJ116" s="536"/>
      <c r="AK116" s="538"/>
      <c r="AL116" s="1031"/>
      <c r="AM116" s="1023"/>
      <c r="AN116" s="1042"/>
      <c r="AO116" s="547"/>
      <c r="AP116" s="553"/>
      <c r="AQ116" s="1027"/>
      <c r="AR116" s="530"/>
    </row>
    <row r="117" spans="1:44" ht="18.75">
      <c r="A117" s="1008"/>
      <c r="B117" s="1008"/>
      <c r="C117" s="1025"/>
      <c r="D117" s="1024"/>
      <c r="E117" s="1017"/>
      <c r="F117" s="1018"/>
      <c r="G117" s="1017"/>
      <c r="H117" s="1019"/>
      <c r="I117" s="971"/>
      <c r="J117" s="1020"/>
      <c r="K117" s="51">
        <v>13285</v>
      </c>
      <c r="L117" s="43" t="s">
        <v>32</v>
      </c>
      <c r="M117" s="1017"/>
      <c r="N117" s="538"/>
      <c r="O117" s="536"/>
      <c r="P117" s="536"/>
      <c r="Q117" s="547"/>
      <c r="R117" s="536"/>
      <c r="S117" s="725"/>
      <c r="T117" s="12"/>
      <c r="U117" s="536"/>
      <c r="V117" s="536"/>
      <c r="W117" s="547"/>
      <c r="X117" s="536"/>
      <c r="Y117" s="537"/>
      <c r="Z117" s="12"/>
      <c r="AA117" s="536"/>
      <c r="AB117" s="536"/>
      <c r="AC117" s="547"/>
      <c r="AD117" s="536"/>
      <c r="AE117" s="537"/>
      <c r="AF117" s="12"/>
      <c r="AG117" s="536"/>
      <c r="AH117" s="536"/>
      <c r="AI117" s="547"/>
      <c r="AJ117" s="536"/>
      <c r="AK117" s="538"/>
      <c r="AL117" s="1026"/>
      <c r="AM117" s="1026"/>
      <c r="AN117" s="1026"/>
      <c r="AO117" s="536"/>
      <c r="AP117" s="43"/>
      <c r="AQ117" s="1027"/>
      <c r="AR117" s="530"/>
    </row>
    <row r="118" spans="1:44" ht="18.75">
      <c r="A118" s="1008">
        <v>55</v>
      </c>
      <c r="B118" s="1008">
        <v>739725</v>
      </c>
      <c r="C118" s="1025" t="s">
        <v>176</v>
      </c>
      <c r="D118" s="1024">
        <v>2.56</v>
      </c>
      <c r="E118" s="1017">
        <v>23252</v>
      </c>
      <c r="F118" s="1018">
        <v>2.56</v>
      </c>
      <c r="G118" s="1017">
        <v>23252</v>
      </c>
      <c r="H118" s="1019" t="s">
        <v>60</v>
      </c>
      <c r="I118" s="971" t="s">
        <v>2713</v>
      </c>
      <c r="J118" s="1020" t="s">
        <v>114</v>
      </c>
      <c r="K118" s="558">
        <v>0.35</v>
      </c>
      <c r="L118" s="553" t="s">
        <v>17</v>
      </c>
      <c r="M118" s="1017">
        <v>4076.8309199999999</v>
      </c>
      <c r="N118" s="538"/>
      <c r="O118" s="536"/>
      <c r="P118" s="536"/>
      <c r="Q118" s="547"/>
      <c r="R118" s="536"/>
      <c r="S118" s="725"/>
      <c r="T118" s="12"/>
      <c r="U118" s="536"/>
      <c r="V118" s="536"/>
      <c r="W118" s="547"/>
      <c r="X118" s="536"/>
      <c r="Y118" s="537"/>
      <c r="Z118" s="12"/>
      <c r="AA118" s="536"/>
      <c r="AB118" s="536"/>
      <c r="AC118" s="547"/>
      <c r="AD118" s="536"/>
      <c r="AE118" s="537"/>
      <c r="AF118" s="12"/>
      <c r="AG118" s="536"/>
      <c r="AH118" s="536"/>
      <c r="AI118" s="547"/>
      <c r="AJ118" s="536"/>
      <c r="AK118" s="538"/>
      <c r="AL118" s="1044"/>
      <c r="AM118" s="971"/>
      <c r="AN118" s="1028"/>
      <c r="AO118" s="1043"/>
      <c r="AP118" s="1037"/>
      <c r="AQ118" s="1030"/>
      <c r="AR118" s="530"/>
    </row>
    <row r="119" spans="1:44" ht="18.75">
      <c r="A119" s="1008"/>
      <c r="B119" s="1008"/>
      <c r="C119" s="1025"/>
      <c r="D119" s="1024"/>
      <c r="E119" s="1017"/>
      <c r="F119" s="1018"/>
      <c r="G119" s="1017"/>
      <c r="H119" s="1019"/>
      <c r="I119" s="971"/>
      <c r="J119" s="1020"/>
      <c r="K119" s="51">
        <v>3369</v>
      </c>
      <c r="L119" s="43" t="s">
        <v>32</v>
      </c>
      <c r="M119" s="1017"/>
      <c r="N119" s="538"/>
      <c r="O119" s="536"/>
      <c r="P119" s="536"/>
      <c r="Q119" s="547"/>
      <c r="R119" s="536"/>
      <c r="S119" s="725"/>
      <c r="T119" s="12"/>
      <c r="U119" s="536"/>
      <c r="V119" s="536"/>
      <c r="W119" s="547"/>
      <c r="X119" s="536"/>
      <c r="Y119" s="537"/>
      <c r="Z119" s="12"/>
      <c r="AA119" s="536"/>
      <c r="AB119" s="536"/>
      <c r="AC119" s="547"/>
      <c r="AD119" s="536"/>
      <c r="AE119" s="537"/>
      <c r="AF119" s="12"/>
      <c r="AG119" s="536"/>
      <c r="AH119" s="536"/>
      <c r="AI119" s="547"/>
      <c r="AJ119" s="536"/>
      <c r="AK119" s="538"/>
      <c r="AL119" s="1044"/>
      <c r="AM119" s="971"/>
      <c r="AN119" s="1028"/>
      <c r="AO119" s="1043"/>
      <c r="AP119" s="1037"/>
      <c r="AQ119" s="1030"/>
      <c r="AR119" s="530"/>
    </row>
    <row r="120" spans="1:44" ht="18.75">
      <c r="A120" s="1008">
        <v>56</v>
      </c>
      <c r="B120" s="1008">
        <v>739006</v>
      </c>
      <c r="C120" s="1025" t="s">
        <v>177</v>
      </c>
      <c r="D120" s="1024">
        <v>2.56</v>
      </c>
      <c r="E120" s="1017">
        <v>44281</v>
      </c>
      <c r="F120" s="1018">
        <v>2.56</v>
      </c>
      <c r="G120" s="1017">
        <v>44281</v>
      </c>
      <c r="H120" s="1019" t="s">
        <v>2716</v>
      </c>
      <c r="I120" s="971" t="s">
        <v>2717</v>
      </c>
      <c r="J120" s="1020" t="s">
        <v>114</v>
      </c>
      <c r="K120" s="558">
        <v>0.2</v>
      </c>
      <c r="L120" s="553" t="s">
        <v>17</v>
      </c>
      <c r="M120" s="1017">
        <v>4110.6709199999996</v>
      </c>
      <c r="N120" s="538"/>
      <c r="O120" s="536"/>
      <c r="P120" s="536"/>
      <c r="Q120" s="547"/>
      <c r="R120" s="536"/>
      <c r="S120" s="725"/>
      <c r="T120" s="12"/>
      <c r="U120" s="536"/>
      <c r="V120" s="536"/>
      <c r="W120" s="547"/>
      <c r="X120" s="536"/>
      <c r="Y120" s="537"/>
      <c r="Z120" s="12"/>
      <c r="AA120" s="536"/>
      <c r="AB120" s="536"/>
      <c r="AC120" s="547"/>
      <c r="AD120" s="536"/>
      <c r="AE120" s="537"/>
      <c r="AF120" s="12"/>
      <c r="AG120" s="536"/>
      <c r="AH120" s="536"/>
      <c r="AI120" s="547"/>
      <c r="AJ120" s="536"/>
      <c r="AK120" s="538"/>
      <c r="AL120" s="12"/>
      <c r="AM120" s="536"/>
      <c r="AN120" s="536"/>
      <c r="AO120" s="547"/>
      <c r="AP120" s="536"/>
      <c r="AQ120" s="538"/>
      <c r="AR120" s="530"/>
    </row>
    <row r="121" spans="1:44" ht="18.75">
      <c r="A121" s="1008"/>
      <c r="B121" s="1008"/>
      <c r="C121" s="1025"/>
      <c r="D121" s="1024"/>
      <c r="E121" s="1017"/>
      <c r="F121" s="1018"/>
      <c r="G121" s="1017"/>
      <c r="H121" s="1019"/>
      <c r="I121" s="971"/>
      <c r="J121" s="1020"/>
      <c r="K121" s="51">
        <v>3500</v>
      </c>
      <c r="L121" s="43" t="s">
        <v>32</v>
      </c>
      <c r="M121" s="1017"/>
      <c r="N121" s="538"/>
      <c r="O121" s="536"/>
      <c r="P121" s="536"/>
      <c r="Q121" s="547"/>
      <c r="R121" s="536"/>
      <c r="S121" s="725"/>
      <c r="T121" s="12"/>
      <c r="U121" s="536"/>
      <c r="V121" s="536"/>
      <c r="W121" s="547"/>
      <c r="X121" s="536"/>
      <c r="Y121" s="537"/>
      <c r="Z121" s="12"/>
      <c r="AA121" s="536"/>
      <c r="AB121" s="536"/>
      <c r="AC121" s="547"/>
      <c r="AD121" s="536"/>
      <c r="AE121" s="537"/>
      <c r="AF121" s="12"/>
      <c r="AG121" s="536"/>
      <c r="AH121" s="536"/>
      <c r="AI121" s="547"/>
      <c r="AJ121" s="536"/>
      <c r="AK121" s="538"/>
      <c r="AL121" s="12"/>
      <c r="AM121" s="536"/>
      <c r="AN121" s="536"/>
      <c r="AO121" s="547"/>
      <c r="AP121" s="536"/>
      <c r="AQ121" s="538"/>
      <c r="AR121" s="530"/>
    </row>
    <row r="122" spans="1:44" ht="18.75">
      <c r="A122" s="1008"/>
      <c r="B122" s="1008"/>
      <c r="C122" s="1025"/>
      <c r="D122" s="1024"/>
      <c r="E122" s="1017"/>
      <c r="F122" s="1018"/>
      <c r="G122" s="1017"/>
      <c r="H122" s="539"/>
      <c r="I122" s="539"/>
      <c r="J122" s="56"/>
      <c r="K122" s="57"/>
      <c r="L122" s="553"/>
      <c r="M122" s="537"/>
      <c r="N122" s="49"/>
      <c r="O122" s="49"/>
      <c r="P122" s="56"/>
      <c r="Q122" s="57"/>
      <c r="R122" s="553"/>
      <c r="S122" s="725"/>
      <c r="T122" s="12"/>
      <c r="U122" s="536"/>
      <c r="V122" s="536"/>
      <c r="W122" s="547"/>
      <c r="X122" s="536"/>
      <c r="Y122" s="537"/>
      <c r="Z122" s="1019"/>
      <c r="AA122" s="1019"/>
      <c r="AB122" s="56"/>
      <c r="AC122" s="57"/>
      <c r="AD122" s="553"/>
      <c r="AE122" s="537"/>
      <c r="AF122" s="12"/>
      <c r="AG122" s="536"/>
      <c r="AH122" s="536"/>
      <c r="AI122" s="547"/>
      <c r="AJ122" s="536"/>
      <c r="AK122" s="538"/>
      <c r="AL122" s="49"/>
      <c r="AM122" s="49"/>
      <c r="AN122" s="56"/>
      <c r="AO122" s="57"/>
      <c r="AP122" s="553"/>
      <c r="AQ122" s="538"/>
      <c r="AR122" s="530"/>
    </row>
    <row r="123" spans="1:44" ht="56.25">
      <c r="A123" s="536">
        <v>57</v>
      </c>
      <c r="B123" s="536">
        <v>742709</v>
      </c>
      <c r="C123" s="546" t="s">
        <v>178</v>
      </c>
      <c r="D123" s="547">
        <v>2.74</v>
      </c>
      <c r="E123" s="537">
        <v>27354</v>
      </c>
      <c r="F123" s="548">
        <v>2.74</v>
      </c>
      <c r="G123" s="537">
        <v>27354</v>
      </c>
      <c r="H123" s="536"/>
      <c r="I123" s="313"/>
      <c r="J123" s="536"/>
      <c r="K123" s="42"/>
      <c r="L123" s="50"/>
      <c r="M123" s="537"/>
      <c r="N123" s="538"/>
      <c r="O123" s="536"/>
      <c r="P123" s="536"/>
      <c r="Q123" s="547"/>
      <c r="R123" s="536"/>
      <c r="S123" s="725"/>
      <c r="T123" s="12"/>
      <c r="U123" s="536"/>
      <c r="V123" s="536"/>
      <c r="W123" s="547"/>
      <c r="X123" s="536"/>
      <c r="Y123" s="537"/>
      <c r="Z123" s="12"/>
      <c r="AA123" s="536"/>
      <c r="AB123" s="536"/>
      <c r="AC123" s="547"/>
      <c r="AD123" s="536"/>
      <c r="AE123" s="537"/>
      <c r="AF123" s="12"/>
      <c r="AG123" s="536"/>
      <c r="AH123" s="536"/>
      <c r="AI123" s="547"/>
      <c r="AJ123" s="536"/>
      <c r="AK123" s="538"/>
      <c r="AL123" s="12"/>
      <c r="AM123" s="536"/>
      <c r="AN123" s="536" t="s">
        <v>93</v>
      </c>
      <c r="AO123" s="547">
        <v>1</v>
      </c>
      <c r="AP123" s="536" t="s">
        <v>118</v>
      </c>
      <c r="AQ123" s="537">
        <v>50</v>
      </c>
      <c r="AR123" s="530"/>
    </row>
    <row r="124" spans="1:44" ht="18.75">
      <c r="A124" s="1008">
        <v>58</v>
      </c>
      <c r="B124" s="1008">
        <v>738331</v>
      </c>
      <c r="C124" s="1025" t="s">
        <v>179</v>
      </c>
      <c r="D124" s="1024">
        <v>3.9</v>
      </c>
      <c r="E124" s="1017">
        <v>69475</v>
      </c>
      <c r="F124" s="1018">
        <v>3.9</v>
      </c>
      <c r="G124" s="1017">
        <v>69475</v>
      </c>
      <c r="H124" s="1044" t="s">
        <v>60</v>
      </c>
      <c r="I124" s="1044" t="s">
        <v>2613</v>
      </c>
      <c r="J124" s="1020" t="s">
        <v>114</v>
      </c>
      <c r="K124" s="558">
        <v>1.91</v>
      </c>
      <c r="L124" s="553" t="s">
        <v>17</v>
      </c>
      <c r="M124" s="1017">
        <v>38673.87775</v>
      </c>
      <c r="N124" s="318"/>
      <c r="O124" s="549"/>
      <c r="P124" s="1045"/>
      <c r="Q124" s="53"/>
      <c r="R124" s="553"/>
      <c r="S124" s="1034"/>
      <c r="T124" s="12"/>
      <c r="U124" s="536"/>
      <c r="V124" s="536"/>
      <c r="W124" s="547"/>
      <c r="X124" s="536"/>
      <c r="Y124" s="537"/>
      <c r="Z124" s="957"/>
      <c r="AA124" s="1008"/>
      <c r="AB124" s="1008"/>
      <c r="AC124" s="547"/>
      <c r="AD124" s="553"/>
      <c r="AE124" s="1017"/>
      <c r="AF124" s="12"/>
      <c r="AG124" s="536"/>
      <c r="AH124" s="536"/>
      <c r="AI124" s="547"/>
      <c r="AJ124" s="536"/>
      <c r="AK124" s="538"/>
      <c r="AL124" s="12"/>
      <c r="AM124" s="536"/>
      <c r="AN124" s="560"/>
      <c r="AO124" s="547"/>
      <c r="AP124" s="536"/>
      <c r="AQ124" s="538"/>
      <c r="AR124" s="530"/>
    </row>
    <row r="125" spans="1:44" ht="18.75">
      <c r="A125" s="1008"/>
      <c r="B125" s="1008"/>
      <c r="C125" s="1025"/>
      <c r="D125" s="1024"/>
      <c r="E125" s="1017"/>
      <c r="F125" s="1018"/>
      <c r="G125" s="1017"/>
      <c r="H125" s="1044"/>
      <c r="I125" s="1044"/>
      <c r="J125" s="1020"/>
      <c r="K125" s="51">
        <v>30964</v>
      </c>
      <c r="L125" s="43" t="s">
        <v>32</v>
      </c>
      <c r="M125" s="1017"/>
      <c r="N125" s="318"/>
      <c r="O125" s="549"/>
      <c r="P125" s="1045"/>
      <c r="Q125" s="58"/>
      <c r="R125" s="43"/>
      <c r="S125" s="1035"/>
      <c r="T125" s="12"/>
      <c r="U125" s="536"/>
      <c r="V125" s="536"/>
      <c r="W125" s="547"/>
      <c r="X125" s="536"/>
      <c r="Y125" s="537"/>
      <c r="Z125" s="957"/>
      <c r="AA125" s="1008"/>
      <c r="AB125" s="1008"/>
      <c r="AC125" s="536"/>
      <c r="AD125" s="43"/>
      <c r="AE125" s="1017"/>
      <c r="AF125" s="12"/>
      <c r="AG125" s="536"/>
      <c r="AH125" s="536"/>
      <c r="AI125" s="547"/>
      <c r="AJ125" s="536"/>
      <c r="AK125" s="538"/>
      <c r="AL125" s="12"/>
      <c r="AM125" s="536"/>
      <c r="AN125" s="560"/>
      <c r="AO125" s="547"/>
      <c r="AP125" s="536"/>
      <c r="AQ125" s="538"/>
      <c r="AR125" s="530"/>
    </row>
    <row r="126" spans="1:44" ht="18.75">
      <c r="A126" s="1008">
        <v>59</v>
      </c>
      <c r="B126" s="1008">
        <v>744931</v>
      </c>
      <c r="C126" s="1025" t="s">
        <v>180</v>
      </c>
      <c r="D126" s="1024">
        <v>0.43</v>
      </c>
      <c r="E126" s="1017">
        <v>5273</v>
      </c>
      <c r="F126" s="1018">
        <v>0.43</v>
      </c>
      <c r="G126" s="1017">
        <v>5273</v>
      </c>
      <c r="H126" s="539"/>
      <c r="I126" s="313"/>
      <c r="J126" s="536"/>
      <c r="K126" s="42"/>
      <c r="L126" s="50"/>
      <c r="M126" s="537"/>
      <c r="N126" s="538"/>
      <c r="O126" s="536"/>
      <c r="P126" s="536"/>
      <c r="Q126" s="547"/>
      <c r="R126" s="536"/>
      <c r="S126" s="725"/>
      <c r="T126" s="12"/>
      <c r="U126" s="536"/>
      <c r="V126" s="536"/>
      <c r="W126" s="547"/>
      <c r="X126" s="536"/>
      <c r="Y126" s="537"/>
      <c r="Z126" s="12"/>
      <c r="AA126" s="536"/>
      <c r="AB126" s="536"/>
      <c r="AC126" s="547"/>
      <c r="AD126" s="536"/>
      <c r="AE126" s="537"/>
      <c r="AF126" s="12"/>
      <c r="AG126" s="536"/>
      <c r="AH126" s="536"/>
      <c r="AI126" s="547"/>
      <c r="AJ126" s="536"/>
      <c r="AK126" s="538"/>
      <c r="AL126" s="1031"/>
      <c r="AM126" s="1023"/>
      <c r="AN126" s="1020" t="s">
        <v>114</v>
      </c>
      <c r="AO126" s="547">
        <v>0.27</v>
      </c>
      <c r="AP126" s="553" t="s">
        <v>17</v>
      </c>
      <c r="AQ126" s="1027">
        <v>4769.55</v>
      </c>
      <c r="AR126" s="530"/>
    </row>
    <row r="127" spans="1:44" ht="18.75">
      <c r="A127" s="1008"/>
      <c r="B127" s="1008"/>
      <c r="C127" s="1025"/>
      <c r="D127" s="1024"/>
      <c r="E127" s="1017"/>
      <c r="F127" s="1018"/>
      <c r="G127" s="1017"/>
      <c r="H127" s="539"/>
      <c r="I127" s="313"/>
      <c r="J127" s="536"/>
      <c r="K127" s="42"/>
      <c r="L127" s="50"/>
      <c r="M127" s="537"/>
      <c r="N127" s="538"/>
      <c r="O127" s="536"/>
      <c r="P127" s="536"/>
      <c r="Q127" s="547"/>
      <c r="R127" s="536"/>
      <c r="S127" s="725"/>
      <c r="T127" s="12"/>
      <c r="U127" s="536"/>
      <c r="V127" s="536"/>
      <c r="W127" s="547"/>
      <c r="X127" s="536"/>
      <c r="Y127" s="537"/>
      <c r="Z127" s="12"/>
      <c r="AA127" s="536"/>
      <c r="AB127" s="536"/>
      <c r="AC127" s="547"/>
      <c r="AD127" s="536"/>
      <c r="AE127" s="537"/>
      <c r="AF127" s="12"/>
      <c r="AG127" s="536"/>
      <c r="AH127" s="536"/>
      <c r="AI127" s="547"/>
      <c r="AJ127" s="536"/>
      <c r="AK127" s="538"/>
      <c r="AL127" s="1026"/>
      <c r="AM127" s="1026"/>
      <c r="AN127" s="1020"/>
      <c r="AO127" s="536">
        <v>3533</v>
      </c>
      <c r="AP127" s="43" t="s">
        <v>32</v>
      </c>
      <c r="AQ127" s="1027"/>
      <c r="AR127" s="530"/>
    </row>
    <row r="128" spans="1:44" ht="18.75">
      <c r="A128" s="1008">
        <v>60</v>
      </c>
      <c r="B128" s="1008">
        <v>742058</v>
      </c>
      <c r="C128" s="1025" t="s">
        <v>181</v>
      </c>
      <c r="D128" s="1024">
        <v>2.86</v>
      </c>
      <c r="E128" s="1017">
        <v>23475</v>
      </c>
      <c r="F128" s="1018">
        <v>2.86</v>
      </c>
      <c r="G128" s="1017">
        <v>23475</v>
      </c>
      <c r="H128" s="539"/>
      <c r="I128" s="313"/>
      <c r="J128" s="536"/>
      <c r="K128" s="42"/>
      <c r="L128" s="50"/>
      <c r="M128" s="537"/>
      <c r="N128" s="538"/>
      <c r="O128" s="536"/>
      <c r="P128" s="536"/>
      <c r="Q128" s="547"/>
      <c r="R128" s="536"/>
      <c r="S128" s="725"/>
      <c r="T128" s="12"/>
      <c r="U128" s="536"/>
      <c r="V128" s="536"/>
      <c r="W128" s="547"/>
      <c r="X128" s="536"/>
      <c r="Y128" s="537"/>
      <c r="Z128" s="12"/>
      <c r="AA128" s="536"/>
      <c r="AB128" s="536"/>
      <c r="AC128" s="547"/>
      <c r="AD128" s="536"/>
      <c r="AE128" s="537"/>
      <c r="AF128" s="12"/>
      <c r="AG128" s="536"/>
      <c r="AH128" s="536"/>
      <c r="AI128" s="547"/>
      <c r="AJ128" s="536"/>
      <c r="AK128" s="538"/>
      <c r="AL128" s="1031"/>
      <c r="AM128" s="1023"/>
      <c r="AN128" s="1042" t="s">
        <v>31</v>
      </c>
      <c r="AO128" s="547">
        <v>0.25</v>
      </c>
      <c r="AP128" s="553" t="s">
        <v>17</v>
      </c>
      <c r="AQ128" s="1027">
        <v>5192.1000000000004</v>
      </c>
      <c r="AR128" s="530"/>
    </row>
    <row r="129" spans="1:44" ht="18.75">
      <c r="A129" s="1008"/>
      <c r="B129" s="1008"/>
      <c r="C129" s="1025"/>
      <c r="D129" s="1024"/>
      <c r="E129" s="1017"/>
      <c r="F129" s="1018"/>
      <c r="G129" s="1017"/>
      <c r="H129" s="539"/>
      <c r="I129" s="313"/>
      <c r="J129" s="536"/>
      <c r="K129" s="42"/>
      <c r="L129" s="50"/>
      <c r="M129" s="537"/>
      <c r="N129" s="538"/>
      <c r="O129" s="536"/>
      <c r="P129" s="536"/>
      <c r="Q129" s="547"/>
      <c r="R129" s="536"/>
      <c r="S129" s="725"/>
      <c r="T129" s="12"/>
      <c r="U129" s="536"/>
      <c r="V129" s="536"/>
      <c r="W129" s="547"/>
      <c r="X129" s="536"/>
      <c r="Y129" s="537"/>
      <c r="Z129" s="12"/>
      <c r="AA129" s="536"/>
      <c r="AB129" s="536"/>
      <c r="AC129" s="547"/>
      <c r="AD129" s="536"/>
      <c r="AE129" s="537"/>
      <c r="AF129" s="12"/>
      <c r="AG129" s="536"/>
      <c r="AH129" s="536"/>
      <c r="AI129" s="547"/>
      <c r="AJ129" s="536"/>
      <c r="AK129" s="538"/>
      <c r="AL129" s="1026"/>
      <c r="AM129" s="1026"/>
      <c r="AN129" s="1026"/>
      <c r="AO129" s="536">
        <v>3846</v>
      </c>
      <c r="AP129" s="43" t="s">
        <v>32</v>
      </c>
      <c r="AQ129" s="1027"/>
      <c r="AR129" s="530"/>
    </row>
    <row r="130" spans="1:44" ht="56.25">
      <c r="A130" s="1008">
        <v>61</v>
      </c>
      <c r="B130" s="1008">
        <v>739666</v>
      </c>
      <c r="C130" s="1025" t="s">
        <v>182</v>
      </c>
      <c r="D130" s="1024">
        <v>0.28999999999999998</v>
      </c>
      <c r="E130" s="1017">
        <v>2117</v>
      </c>
      <c r="F130" s="1018">
        <v>0.28999999999999998</v>
      </c>
      <c r="G130" s="1017">
        <v>2117</v>
      </c>
      <c r="H130" s="649"/>
      <c r="I130" s="649"/>
      <c r="J130" s="1008"/>
      <c r="K130" s="558"/>
      <c r="L130" s="553"/>
      <c r="M130" s="1017"/>
      <c r="N130" s="321"/>
      <c r="O130" s="321"/>
      <c r="P130" s="1008"/>
      <c r="Q130" s="558"/>
      <c r="R130" s="553"/>
      <c r="S130" s="725"/>
      <c r="T130" s="12"/>
      <c r="U130" s="536"/>
      <c r="V130" s="536"/>
      <c r="W130" s="547"/>
      <c r="X130" s="536"/>
      <c r="Y130" s="537"/>
      <c r="Z130" s="12"/>
      <c r="AA130" s="536"/>
      <c r="AB130" s="536"/>
      <c r="AC130" s="547"/>
      <c r="AD130" s="536"/>
      <c r="AE130" s="537"/>
      <c r="AF130" s="12"/>
      <c r="AG130" s="536"/>
      <c r="AH130" s="536" t="s">
        <v>93</v>
      </c>
      <c r="AI130" s="547">
        <v>1</v>
      </c>
      <c r="AJ130" s="536" t="s">
        <v>118</v>
      </c>
      <c r="AK130" s="537">
        <v>50</v>
      </c>
      <c r="AL130" s="12"/>
      <c r="AM130" s="536"/>
      <c r="AN130" s="536"/>
      <c r="AO130" s="547"/>
      <c r="AP130" s="536"/>
      <c r="AQ130" s="538"/>
      <c r="AR130" s="530"/>
    </row>
    <row r="131" spans="1:44" ht="56.25">
      <c r="A131" s="1008"/>
      <c r="B131" s="1008"/>
      <c r="C131" s="1025"/>
      <c r="D131" s="1024"/>
      <c r="E131" s="1017"/>
      <c r="F131" s="1018"/>
      <c r="G131" s="1017"/>
      <c r="H131" s="649"/>
      <c r="I131" s="649"/>
      <c r="J131" s="1008"/>
      <c r="K131" s="51"/>
      <c r="L131" s="43"/>
      <c r="M131" s="1017"/>
      <c r="N131" s="321"/>
      <c r="O131" s="321"/>
      <c r="P131" s="1008"/>
      <c r="Q131" s="51"/>
      <c r="R131" s="43"/>
      <c r="S131" s="725"/>
      <c r="T131" s="12"/>
      <c r="U131" s="536"/>
      <c r="V131" s="536"/>
      <c r="W131" s="547"/>
      <c r="X131" s="536"/>
      <c r="Y131" s="537"/>
      <c r="Z131" s="12"/>
      <c r="AA131" s="536"/>
      <c r="AB131" s="536"/>
      <c r="AC131" s="547"/>
      <c r="AD131" s="536"/>
      <c r="AE131" s="537"/>
      <c r="AF131" s="12"/>
      <c r="AG131" s="536"/>
      <c r="AH131" s="536"/>
      <c r="AI131" s="547"/>
      <c r="AJ131" s="536"/>
      <c r="AK131" s="538"/>
      <c r="AL131" s="12"/>
      <c r="AM131" s="536"/>
      <c r="AN131" s="536" t="s">
        <v>93</v>
      </c>
      <c r="AO131" s="547">
        <v>1</v>
      </c>
      <c r="AP131" s="536" t="s">
        <v>118</v>
      </c>
      <c r="AQ131" s="537">
        <v>50</v>
      </c>
      <c r="AR131" s="530"/>
    </row>
    <row r="132" spans="1:44" ht="56.25">
      <c r="A132" s="1008">
        <v>62</v>
      </c>
      <c r="B132" s="1008">
        <v>738873</v>
      </c>
      <c r="C132" s="1008" t="s">
        <v>183</v>
      </c>
      <c r="D132" s="547">
        <v>3.3</v>
      </c>
      <c r="E132" s="537">
        <v>51150</v>
      </c>
      <c r="F132" s="548">
        <v>3.3</v>
      </c>
      <c r="G132" s="537">
        <v>51150</v>
      </c>
      <c r="H132" s="539"/>
      <c r="I132" s="539"/>
      <c r="J132" s="536"/>
      <c r="K132" s="47"/>
      <c r="L132" s="43"/>
      <c r="M132" s="537"/>
      <c r="N132" s="49" t="s">
        <v>2857</v>
      </c>
      <c r="O132" s="49" t="s">
        <v>2857</v>
      </c>
      <c r="P132" s="536" t="s">
        <v>120</v>
      </c>
      <c r="Q132" s="547">
        <v>1</v>
      </c>
      <c r="R132" s="536" t="s">
        <v>118</v>
      </c>
      <c r="S132" s="725">
        <v>500</v>
      </c>
      <c r="T132" s="12"/>
      <c r="U132" s="536"/>
      <c r="V132" s="536"/>
      <c r="W132" s="547"/>
      <c r="X132" s="536"/>
      <c r="Y132" s="537"/>
      <c r="Z132" s="1019"/>
      <c r="AA132" s="1019"/>
      <c r="AB132" s="536"/>
      <c r="AC132" s="47"/>
      <c r="AD132" s="43"/>
      <c r="AE132" s="537"/>
      <c r="AF132" s="12"/>
      <c r="AG132" s="536"/>
      <c r="AH132" s="536"/>
      <c r="AI132" s="547"/>
      <c r="AJ132" s="536"/>
      <c r="AK132" s="538"/>
      <c r="AL132" s="12"/>
      <c r="AM132" s="536"/>
      <c r="AN132" s="560"/>
      <c r="AO132" s="547"/>
      <c r="AP132" s="536"/>
      <c r="AQ132" s="538"/>
      <c r="AR132" s="530"/>
    </row>
    <row r="133" spans="1:44" ht="56.25">
      <c r="A133" s="1008"/>
      <c r="B133" s="1008"/>
      <c r="C133" s="1008"/>
      <c r="D133" s="547"/>
      <c r="E133" s="537"/>
      <c r="F133" s="548"/>
      <c r="G133" s="537"/>
      <c r="H133" s="539"/>
      <c r="I133" s="539"/>
      <c r="J133" s="536"/>
      <c r="K133" s="47"/>
      <c r="L133" s="43"/>
      <c r="M133" s="537"/>
      <c r="N133" s="49" t="s">
        <v>2807</v>
      </c>
      <c r="O133" s="49" t="s">
        <v>2807</v>
      </c>
      <c r="P133" s="536" t="s">
        <v>120</v>
      </c>
      <c r="Q133" s="547">
        <v>1</v>
      </c>
      <c r="R133" s="536" t="s">
        <v>118</v>
      </c>
      <c r="S133" s="725">
        <v>550</v>
      </c>
      <c r="T133" s="12"/>
      <c r="U133" s="536"/>
      <c r="V133" s="536"/>
      <c r="W133" s="547"/>
      <c r="X133" s="536"/>
      <c r="Y133" s="537"/>
      <c r="Z133" s="539"/>
      <c r="AA133" s="539"/>
      <c r="AB133" s="536"/>
      <c r="AC133" s="47"/>
      <c r="AD133" s="43"/>
      <c r="AE133" s="537"/>
      <c r="AF133" s="12"/>
      <c r="AG133" s="536"/>
      <c r="AH133" s="536"/>
      <c r="AI133" s="547"/>
      <c r="AJ133" s="536"/>
      <c r="AK133" s="538"/>
      <c r="AL133" s="12"/>
      <c r="AM133" s="536"/>
      <c r="AN133" s="560"/>
      <c r="AO133" s="547"/>
      <c r="AP133" s="536"/>
      <c r="AQ133" s="538"/>
      <c r="AR133" s="530"/>
    </row>
    <row r="134" spans="1:44" ht="18.75">
      <c r="A134" s="1008">
        <v>63</v>
      </c>
      <c r="B134" s="1008">
        <v>738434</v>
      </c>
      <c r="C134" s="1025" t="s">
        <v>184</v>
      </c>
      <c r="D134" s="1024">
        <v>1.88</v>
      </c>
      <c r="E134" s="1017">
        <v>26165</v>
      </c>
      <c r="F134" s="1018">
        <v>1.88</v>
      </c>
      <c r="G134" s="1017">
        <v>26165</v>
      </c>
      <c r="H134" s="1019" t="s">
        <v>60</v>
      </c>
      <c r="I134" s="971" t="s">
        <v>2767</v>
      </c>
      <c r="J134" s="1020" t="s">
        <v>114</v>
      </c>
      <c r="K134" s="558">
        <v>1.27</v>
      </c>
      <c r="L134" s="553" t="s">
        <v>17</v>
      </c>
      <c r="M134" s="1017">
        <v>15569.337100000001</v>
      </c>
      <c r="N134" s="49"/>
      <c r="O134" s="49"/>
      <c r="P134" s="549"/>
      <c r="Q134" s="558"/>
      <c r="R134" s="553"/>
      <c r="S134" s="727"/>
      <c r="T134" s="12"/>
      <c r="U134" s="536"/>
      <c r="V134" s="536"/>
      <c r="W134" s="547"/>
      <c r="X134" s="536"/>
      <c r="Y134" s="537"/>
      <c r="Z134" s="12"/>
      <c r="AA134" s="536"/>
      <c r="AB134" s="536"/>
      <c r="AC134" s="547"/>
      <c r="AD134" s="536"/>
      <c r="AE134" s="537"/>
      <c r="AF134" s="12"/>
      <c r="AG134" s="536"/>
      <c r="AH134" s="536"/>
      <c r="AI134" s="547"/>
      <c r="AJ134" s="536"/>
      <c r="AK134" s="538"/>
      <c r="AL134" s="1031"/>
      <c r="AM134" s="1023"/>
      <c r="AN134" s="1042"/>
      <c r="AO134" s="547"/>
      <c r="AP134" s="553"/>
      <c r="AQ134" s="1027"/>
      <c r="AR134" s="530"/>
    </row>
    <row r="135" spans="1:44" ht="18.75">
      <c r="A135" s="1008"/>
      <c r="B135" s="1008"/>
      <c r="C135" s="1025"/>
      <c r="D135" s="1024"/>
      <c r="E135" s="1017"/>
      <c r="F135" s="1018"/>
      <c r="G135" s="1017"/>
      <c r="H135" s="1019"/>
      <c r="I135" s="971"/>
      <c r="J135" s="1020"/>
      <c r="K135" s="51">
        <v>17494</v>
      </c>
      <c r="L135" s="43" t="s">
        <v>32</v>
      </c>
      <c r="M135" s="1017"/>
      <c r="N135" s="49"/>
      <c r="O135" s="49"/>
      <c r="P135" s="549"/>
      <c r="Q135" s="558"/>
      <c r="R135" s="553"/>
      <c r="S135" s="727"/>
      <c r="T135" s="12"/>
      <c r="U135" s="536"/>
      <c r="V135" s="536"/>
      <c r="W135" s="547"/>
      <c r="X135" s="536"/>
      <c r="Y135" s="537"/>
      <c r="Z135" s="12"/>
      <c r="AA135" s="536"/>
      <c r="AB135" s="536"/>
      <c r="AC135" s="547"/>
      <c r="AD135" s="536"/>
      <c r="AE135" s="537"/>
      <c r="AF135" s="12"/>
      <c r="AG135" s="536"/>
      <c r="AH135" s="536"/>
      <c r="AI135" s="547"/>
      <c r="AJ135" s="536"/>
      <c r="AK135" s="538"/>
      <c r="AL135" s="1026"/>
      <c r="AM135" s="1026"/>
      <c r="AN135" s="1026"/>
      <c r="AO135" s="536"/>
      <c r="AP135" s="43"/>
      <c r="AQ135" s="1027"/>
      <c r="AR135" s="530"/>
    </row>
    <row r="136" spans="1:44" ht="56.25">
      <c r="A136" s="1008"/>
      <c r="B136" s="1008"/>
      <c r="C136" s="1025"/>
      <c r="D136" s="1024"/>
      <c r="E136" s="1017"/>
      <c r="F136" s="1018"/>
      <c r="G136" s="1017"/>
      <c r="H136" s="539" t="s">
        <v>3506</v>
      </c>
      <c r="I136" s="539" t="s">
        <v>2767</v>
      </c>
      <c r="J136" s="536" t="s">
        <v>49</v>
      </c>
      <c r="K136" s="51">
        <v>100</v>
      </c>
      <c r="L136" s="43" t="s">
        <v>186</v>
      </c>
      <c r="M136" s="537">
        <v>191.74681000000001</v>
      </c>
      <c r="N136" s="49" t="s">
        <v>2807</v>
      </c>
      <c r="O136" s="49" t="s">
        <v>2807</v>
      </c>
      <c r="P136" s="536" t="s">
        <v>120</v>
      </c>
      <c r="Q136" s="547">
        <v>1</v>
      </c>
      <c r="R136" s="536" t="s">
        <v>118</v>
      </c>
      <c r="S136" s="725">
        <v>2500</v>
      </c>
      <c r="T136" s="12"/>
      <c r="U136" s="536"/>
      <c r="V136" s="536"/>
      <c r="W136" s="547"/>
      <c r="X136" s="536"/>
      <c r="Y136" s="537"/>
      <c r="Z136" s="12"/>
      <c r="AA136" s="536"/>
      <c r="AB136" s="536"/>
      <c r="AC136" s="547"/>
      <c r="AD136" s="536"/>
      <c r="AE136" s="537"/>
      <c r="AF136" s="12"/>
      <c r="AG136" s="536"/>
      <c r="AH136" s="536"/>
      <c r="AI136" s="547"/>
      <c r="AJ136" s="536"/>
      <c r="AK136" s="538"/>
      <c r="AL136" s="550"/>
      <c r="AM136" s="550"/>
      <c r="AN136" s="550"/>
      <c r="AO136" s="536"/>
      <c r="AP136" s="43"/>
      <c r="AQ136" s="318"/>
      <c r="AR136" s="530"/>
    </row>
    <row r="137" spans="1:44" ht="56.25">
      <c r="A137" s="1008"/>
      <c r="B137" s="1008"/>
      <c r="C137" s="1025"/>
      <c r="D137" s="1024"/>
      <c r="E137" s="1017"/>
      <c r="F137" s="1018"/>
      <c r="G137" s="1017"/>
      <c r="H137" s="539"/>
      <c r="I137" s="313"/>
      <c r="J137" s="536"/>
      <c r="K137" s="51"/>
      <c r="L137" s="43"/>
      <c r="M137" s="537"/>
      <c r="N137" s="49" t="s">
        <v>2887</v>
      </c>
      <c r="O137" s="49" t="s">
        <v>2887</v>
      </c>
      <c r="P137" s="536" t="s">
        <v>120</v>
      </c>
      <c r="Q137" s="547">
        <v>1</v>
      </c>
      <c r="R137" s="536" t="s">
        <v>118</v>
      </c>
      <c r="S137" s="725">
        <v>2500</v>
      </c>
      <c r="T137" s="12"/>
      <c r="U137" s="536"/>
      <c r="V137" s="536"/>
      <c r="W137" s="547"/>
      <c r="X137" s="536"/>
      <c r="Y137" s="537"/>
      <c r="Z137" s="12"/>
      <c r="AA137" s="536"/>
      <c r="AB137" s="536"/>
      <c r="AC137" s="547"/>
      <c r="AD137" s="536"/>
      <c r="AE137" s="537"/>
      <c r="AF137" s="12"/>
      <c r="AG137" s="536"/>
      <c r="AH137" s="536"/>
      <c r="AI137" s="547"/>
      <c r="AJ137" s="536"/>
      <c r="AK137" s="538"/>
      <c r="AL137" s="550"/>
      <c r="AM137" s="550"/>
      <c r="AN137" s="550"/>
      <c r="AO137" s="536"/>
      <c r="AP137" s="43"/>
      <c r="AQ137" s="318"/>
      <c r="AR137" s="530"/>
    </row>
    <row r="138" spans="1:44" ht="56.25">
      <c r="A138" s="1008"/>
      <c r="B138" s="1008"/>
      <c r="C138" s="1025"/>
      <c r="D138" s="1024"/>
      <c r="E138" s="1017"/>
      <c r="F138" s="1018"/>
      <c r="G138" s="1017"/>
      <c r="H138" s="539"/>
      <c r="I138" s="313"/>
      <c r="J138" s="536"/>
      <c r="K138" s="51"/>
      <c r="L138" s="43"/>
      <c r="M138" s="537"/>
      <c r="N138" s="49" t="s">
        <v>2823</v>
      </c>
      <c r="O138" s="49" t="s">
        <v>2823</v>
      </c>
      <c r="P138" s="536" t="s">
        <v>120</v>
      </c>
      <c r="Q138" s="547">
        <v>1</v>
      </c>
      <c r="R138" s="536" t="s">
        <v>118</v>
      </c>
      <c r="S138" s="725">
        <v>2500</v>
      </c>
      <c r="T138" s="12"/>
      <c r="U138" s="536"/>
      <c r="V138" s="536"/>
      <c r="W138" s="547"/>
      <c r="X138" s="536"/>
      <c r="Y138" s="537"/>
      <c r="Z138" s="12"/>
      <c r="AA138" s="536"/>
      <c r="AB138" s="536"/>
      <c r="AC138" s="547"/>
      <c r="AD138" s="536"/>
      <c r="AE138" s="537"/>
      <c r="AF138" s="12"/>
      <c r="AG138" s="536"/>
      <c r="AH138" s="536"/>
      <c r="AI138" s="547"/>
      <c r="AJ138" s="536"/>
      <c r="AK138" s="538"/>
      <c r="AL138" s="550"/>
      <c r="AM138" s="550"/>
      <c r="AN138" s="550"/>
      <c r="AO138" s="536"/>
      <c r="AP138" s="43"/>
      <c r="AQ138" s="318"/>
      <c r="AR138" s="530"/>
    </row>
    <row r="139" spans="1:44" ht="37.5">
      <c r="A139" s="1008"/>
      <c r="B139" s="1008"/>
      <c r="C139" s="1025"/>
      <c r="D139" s="1024"/>
      <c r="E139" s="1017"/>
      <c r="F139" s="1018"/>
      <c r="G139" s="1017"/>
      <c r="H139" s="539"/>
      <c r="I139" s="313"/>
      <c r="J139" s="536"/>
      <c r="K139" s="51"/>
      <c r="L139" s="43"/>
      <c r="M139" s="537"/>
      <c r="N139" s="49" t="s">
        <v>2883</v>
      </c>
      <c r="O139" s="49" t="s">
        <v>2884</v>
      </c>
      <c r="P139" s="536" t="s">
        <v>93</v>
      </c>
      <c r="Q139" s="547">
        <v>1</v>
      </c>
      <c r="R139" s="536" t="s">
        <v>118</v>
      </c>
      <c r="S139" s="725">
        <v>20</v>
      </c>
      <c r="T139" s="12"/>
      <c r="U139" s="536"/>
      <c r="V139" s="536"/>
      <c r="W139" s="547"/>
      <c r="X139" s="536"/>
      <c r="Y139" s="537"/>
      <c r="Z139" s="12"/>
      <c r="AA139" s="536"/>
      <c r="AB139" s="536"/>
      <c r="AC139" s="547"/>
      <c r="AD139" s="536"/>
      <c r="AE139" s="537"/>
      <c r="AF139" s="12"/>
      <c r="AG139" s="536"/>
      <c r="AH139" s="536"/>
      <c r="AI139" s="547"/>
      <c r="AJ139" s="536"/>
      <c r="AK139" s="538"/>
      <c r="AL139" s="550"/>
      <c r="AM139" s="550"/>
      <c r="AN139" s="550"/>
      <c r="AO139" s="536"/>
      <c r="AP139" s="43"/>
      <c r="AQ139" s="318"/>
      <c r="AR139" s="530"/>
    </row>
    <row r="140" spans="1:44" ht="37.5">
      <c r="A140" s="1008"/>
      <c r="B140" s="1008"/>
      <c r="C140" s="1025"/>
      <c r="D140" s="1024"/>
      <c r="E140" s="1017"/>
      <c r="F140" s="1018"/>
      <c r="G140" s="1017"/>
      <c r="H140" s="539"/>
      <c r="I140" s="313"/>
      <c r="J140" s="536"/>
      <c r="K140" s="51"/>
      <c r="L140" s="43"/>
      <c r="M140" s="537"/>
      <c r="N140" s="49" t="s">
        <v>2883</v>
      </c>
      <c r="O140" s="49" t="s">
        <v>2884</v>
      </c>
      <c r="P140" s="536" t="s">
        <v>462</v>
      </c>
      <c r="Q140" s="547">
        <v>1</v>
      </c>
      <c r="R140" s="536" t="s">
        <v>118</v>
      </c>
      <c r="S140" s="725">
        <v>200</v>
      </c>
      <c r="T140" s="12"/>
      <c r="U140" s="536"/>
      <c r="V140" s="536"/>
      <c r="W140" s="547"/>
      <c r="X140" s="536"/>
      <c r="Y140" s="537"/>
      <c r="Z140" s="12"/>
      <c r="AA140" s="536"/>
      <c r="AB140" s="536"/>
      <c r="AC140" s="547"/>
      <c r="AD140" s="536"/>
      <c r="AE140" s="537"/>
      <c r="AF140" s="12"/>
      <c r="AG140" s="536"/>
      <c r="AH140" s="536"/>
      <c r="AI140" s="547"/>
      <c r="AJ140" s="536"/>
      <c r="AK140" s="538"/>
      <c r="AL140" s="550"/>
      <c r="AM140" s="550"/>
      <c r="AN140" s="550"/>
      <c r="AO140" s="536"/>
      <c r="AP140" s="43"/>
      <c r="AQ140" s="318"/>
      <c r="AR140" s="530"/>
    </row>
    <row r="141" spans="1:44" ht="56.25">
      <c r="A141" s="1008"/>
      <c r="B141" s="1008"/>
      <c r="C141" s="1025"/>
      <c r="D141" s="1024"/>
      <c r="E141" s="1017"/>
      <c r="F141" s="1018"/>
      <c r="G141" s="1017"/>
      <c r="H141" s="539"/>
      <c r="I141" s="313"/>
      <c r="J141" s="536"/>
      <c r="K141" s="51"/>
      <c r="L141" s="43"/>
      <c r="M141" s="537"/>
      <c r="N141" s="49" t="s">
        <v>2888</v>
      </c>
      <c r="O141" s="49" t="s">
        <v>2888</v>
      </c>
      <c r="P141" s="536" t="s">
        <v>120</v>
      </c>
      <c r="Q141" s="547">
        <v>1</v>
      </c>
      <c r="R141" s="536" t="s">
        <v>118</v>
      </c>
      <c r="S141" s="725">
        <v>2500</v>
      </c>
      <c r="T141" s="12"/>
      <c r="U141" s="536"/>
      <c r="V141" s="536"/>
      <c r="W141" s="547"/>
      <c r="X141" s="536"/>
      <c r="Y141" s="537"/>
      <c r="Z141" s="12"/>
      <c r="AA141" s="536"/>
      <c r="AB141" s="536"/>
      <c r="AC141" s="547"/>
      <c r="AD141" s="536"/>
      <c r="AE141" s="537"/>
      <c r="AF141" s="12"/>
      <c r="AG141" s="536"/>
      <c r="AH141" s="536"/>
      <c r="AI141" s="547"/>
      <c r="AJ141" s="536"/>
      <c r="AK141" s="538"/>
      <c r="AL141" s="550"/>
      <c r="AM141" s="550"/>
      <c r="AN141" s="550"/>
      <c r="AO141" s="536"/>
      <c r="AP141" s="43"/>
      <c r="AQ141" s="318"/>
      <c r="AR141" s="530"/>
    </row>
    <row r="142" spans="1:44" ht="56.25">
      <c r="A142" s="1008"/>
      <c r="B142" s="1008"/>
      <c r="C142" s="1025"/>
      <c r="D142" s="1024"/>
      <c r="E142" s="1017"/>
      <c r="F142" s="1018"/>
      <c r="G142" s="1017"/>
      <c r="H142" s="539"/>
      <c r="I142" s="313"/>
      <c r="J142" s="536"/>
      <c r="K142" s="51"/>
      <c r="L142" s="43"/>
      <c r="M142" s="537"/>
      <c r="N142" s="49" t="s">
        <v>2889</v>
      </c>
      <c r="O142" s="49" t="s">
        <v>2889</v>
      </c>
      <c r="P142" s="536" t="s">
        <v>120</v>
      </c>
      <c r="Q142" s="547">
        <v>1</v>
      </c>
      <c r="R142" s="536" t="s">
        <v>118</v>
      </c>
      <c r="S142" s="725">
        <v>2500</v>
      </c>
      <c r="T142" s="12"/>
      <c r="U142" s="536"/>
      <c r="V142" s="536"/>
      <c r="W142" s="547"/>
      <c r="X142" s="536"/>
      <c r="Y142" s="537"/>
      <c r="Z142" s="12"/>
      <c r="AA142" s="536"/>
      <c r="AB142" s="536"/>
      <c r="AC142" s="547"/>
      <c r="AD142" s="536"/>
      <c r="AE142" s="537"/>
      <c r="AF142" s="12"/>
      <c r="AG142" s="536"/>
      <c r="AH142" s="536"/>
      <c r="AI142" s="547"/>
      <c r="AJ142" s="536"/>
      <c r="AK142" s="538"/>
      <c r="AL142" s="550"/>
      <c r="AM142" s="550"/>
      <c r="AN142" s="550"/>
      <c r="AO142" s="536"/>
      <c r="AP142" s="43"/>
      <c r="AQ142" s="318"/>
      <c r="AR142" s="530"/>
    </row>
    <row r="143" spans="1:44" ht="56.25">
      <c r="A143" s="1008">
        <v>64</v>
      </c>
      <c r="B143" s="1008">
        <v>738434</v>
      </c>
      <c r="C143" s="1025" t="s">
        <v>187</v>
      </c>
      <c r="D143" s="1024">
        <f>2.4-0.0032</f>
        <v>2.3967999999999998</v>
      </c>
      <c r="E143" s="1017">
        <v>32422</v>
      </c>
      <c r="F143" s="1018">
        <f>2.4-0.0032</f>
        <v>2.3967999999999998</v>
      </c>
      <c r="G143" s="1017">
        <v>32422</v>
      </c>
      <c r="H143" s="1019" t="s">
        <v>60</v>
      </c>
      <c r="I143" s="971" t="s">
        <v>2718</v>
      </c>
      <c r="J143" s="1020" t="s">
        <v>114</v>
      </c>
      <c r="K143" s="558">
        <v>2.4</v>
      </c>
      <c r="L143" s="553" t="s">
        <v>17</v>
      </c>
      <c r="M143" s="1017">
        <v>26091.489130000002</v>
      </c>
      <c r="N143" s="49" t="s">
        <v>2890</v>
      </c>
      <c r="O143" s="49" t="s">
        <v>2890</v>
      </c>
      <c r="P143" s="536" t="s">
        <v>120</v>
      </c>
      <c r="Q143" s="547">
        <v>1</v>
      </c>
      <c r="R143" s="536" t="s">
        <v>118</v>
      </c>
      <c r="S143" s="725">
        <v>2500</v>
      </c>
      <c r="T143" s="12"/>
      <c r="U143" s="536"/>
      <c r="V143" s="536"/>
      <c r="W143" s="547"/>
      <c r="X143" s="536"/>
      <c r="Y143" s="537"/>
      <c r="Z143" s="971"/>
      <c r="AA143" s="971"/>
      <c r="AB143" s="1028"/>
      <c r="AC143" s="1029"/>
      <c r="AD143" s="1028"/>
      <c r="AE143" s="1033"/>
      <c r="AF143" s="12"/>
      <c r="AG143" s="536"/>
      <c r="AH143" s="536"/>
      <c r="AI143" s="547"/>
      <c r="AJ143" s="536"/>
      <c r="AK143" s="538"/>
      <c r="AL143" s="12"/>
      <c r="AM143" s="536"/>
      <c r="AN143" s="536"/>
      <c r="AO143" s="547"/>
      <c r="AP143" s="536"/>
      <c r="AQ143" s="538"/>
      <c r="AR143" s="530"/>
    </row>
    <row r="144" spans="1:44" ht="18.75">
      <c r="A144" s="1008"/>
      <c r="B144" s="1008"/>
      <c r="C144" s="1025"/>
      <c r="D144" s="1024"/>
      <c r="E144" s="1017"/>
      <c r="F144" s="1018"/>
      <c r="G144" s="1017"/>
      <c r="H144" s="1019"/>
      <c r="I144" s="971"/>
      <c r="J144" s="1020"/>
      <c r="K144" s="51">
        <v>32422</v>
      </c>
      <c r="L144" s="43" t="s">
        <v>32</v>
      </c>
      <c r="M144" s="1017"/>
      <c r="N144" s="538"/>
      <c r="O144" s="536"/>
      <c r="P144" s="536"/>
      <c r="Q144" s="547"/>
      <c r="R144" s="536"/>
      <c r="S144" s="725"/>
      <c r="T144" s="12"/>
      <c r="U144" s="536"/>
      <c r="V144" s="536"/>
      <c r="W144" s="547"/>
      <c r="X144" s="536"/>
      <c r="Y144" s="537"/>
      <c r="Z144" s="971"/>
      <c r="AA144" s="971"/>
      <c r="AB144" s="1028"/>
      <c r="AC144" s="1029"/>
      <c r="AD144" s="1028"/>
      <c r="AE144" s="1033"/>
      <c r="AF144" s="12"/>
      <c r="AG144" s="536"/>
      <c r="AH144" s="536"/>
      <c r="AI144" s="547"/>
      <c r="AJ144" s="536"/>
      <c r="AK144" s="538"/>
      <c r="AL144" s="12"/>
      <c r="AM144" s="536"/>
      <c r="AN144" s="536"/>
      <c r="AO144" s="547"/>
      <c r="AP144" s="536"/>
      <c r="AQ144" s="538"/>
      <c r="AR144" s="530"/>
    </row>
    <row r="145" spans="1:44" ht="56.25">
      <c r="A145" s="1008"/>
      <c r="B145" s="1008"/>
      <c r="C145" s="1025"/>
      <c r="D145" s="1024"/>
      <c r="E145" s="1017"/>
      <c r="F145" s="1018"/>
      <c r="G145" s="1017"/>
      <c r="H145" s="539"/>
      <c r="I145" s="539"/>
      <c r="J145" s="536"/>
      <c r="K145" s="51"/>
      <c r="L145" s="43"/>
      <c r="M145" s="537"/>
      <c r="N145" s="49" t="s">
        <v>2891</v>
      </c>
      <c r="O145" s="49" t="s">
        <v>2891</v>
      </c>
      <c r="P145" s="536" t="s">
        <v>120</v>
      </c>
      <c r="Q145" s="547">
        <v>1</v>
      </c>
      <c r="R145" s="536" t="s">
        <v>118</v>
      </c>
      <c r="S145" s="725">
        <v>2500</v>
      </c>
      <c r="T145" s="12"/>
      <c r="U145" s="536"/>
      <c r="V145" s="536"/>
      <c r="W145" s="547"/>
      <c r="X145" s="536"/>
      <c r="Y145" s="537"/>
      <c r="Z145" s="312"/>
      <c r="AA145" s="312"/>
      <c r="AB145" s="555"/>
      <c r="AC145" s="556"/>
      <c r="AD145" s="555"/>
      <c r="AE145" s="557"/>
      <c r="AF145" s="12"/>
      <c r="AG145" s="536"/>
      <c r="AH145" s="536"/>
      <c r="AI145" s="547"/>
      <c r="AJ145" s="536"/>
      <c r="AK145" s="538"/>
      <c r="AL145" s="12"/>
      <c r="AM145" s="536"/>
      <c r="AN145" s="536"/>
      <c r="AO145" s="547"/>
      <c r="AP145" s="536"/>
      <c r="AQ145" s="538"/>
      <c r="AR145" s="530"/>
    </row>
    <row r="146" spans="1:44" ht="56.25">
      <c r="A146" s="1008"/>
      <c r="B146" s="1008"/>
      <c r="C146" s="1025"/>
      <c r="D146" s="1024"/>
      <c r="E146" s="1017"/>
      <c r="F146" s="1018"/>
      <c r="G146" s="1017"/>
      <c r="H146" s="539"/>
      <c r="I146" s="312"/>
      <c r="J146" s="536"/>
      <c r="K146" s="51"/>
      <c r="L146" s="43"/>
      <c r="M146" s="537"/>
      <c r="N146" s="49" t="s">
        <v>2892</v>
      </c>
      <c r="O146" s="49" t="s">
        <v>2892</v>
      </c>
      <c r="P146" s="536" t="s">
        <v>120</v>
      </c>
      <c r="Q146" s="547">
        <v>1</v>
      </c>
      <c r="R146" s="536" t="s">
        <v>118</v>
      </c>
      <c r="S146" s="725">
        <v>2500</v>
      </c>
      <c r="T146" s="12"/>
      <c r="U146" s="536"/>
      <c r="V146" s="536"/>
      <c r="W146" s="547"/>
      <c r="X146" s="536"/>
      <c r="Y146" s="537"/>
      <c r="Z146" s="312"/>
      <c r="AA146" s="312"/>
      <c r="AB146" s="555"/>
      <c r="AC146" s="556"/>
      <c r="AD146" s="555"/>
      <c r="AE146" s="557"/>
      <c r="AF146" s="12"/>
      <c r="AG146" s="536"/>
      <c r="AH146" s="536"/>
      <c r="AI146" s="547"/>
      <c r="AJ146" s="536"/>
      <c r="AK146" s="538"/>
      <c r="AL146" s="12"/>
      <c r="AM146" s="536"/>
      <c r="AN146" s="536"/>
      <c r="AO146" s="547"/>
      <c r="AP146" s="536"/>
      <c r="AQ146" s="538"/>
      <c r="AR146" s="530"/>
    </row>
    <row r="147" spans="1:44" ht="56.25">
      <c r="A147" s="1008"/>
      <c r="B147" s="1008"/>
      <c r="C147" s="1025"/>
      <c r="D147" s="1024"/>
      <c r="E147" s="1017"/>
      <c r="F147" s="1018"/>
      <c r="G147" s="1017"/>
      <c r="H147" s="539"/>
      <c r="I147" s="312"/>
      <c r="J147" s="536"/>
      <c r="K147" s="51"/>
      <c r="L147" s="43"/>
      <c r="M147" s="537"/>
      <c r="N147" s="49" t="s">
        <v>2893</v>
      </c>
      <c r="O147" s="49" t="s">
        <v>2893</v>
      </c>
      <c r="P147" s="536" t="s">
        <v>120</v>
      </c>
      <c r="Q147" s="547">
        <v>1</v>
      </c>
      <c r="R147" s="536" t="s">
        <v>118</v>
      </c>
      <c r="S147" s="725">
        <v>2500</v>
      </c>
      <c r="T147" s="12"/>
      <c r="U147" s="536"/>
      <c r="V147" s="536"/>
      <c r="W147" s="547"/>
      <c r="X147" s="536"/>
      <c r="Y147" s="537"/>
      <c r="Z147" s="312"/>
      <c r="AA147" s="312"/>
      <c r="AB147" s="555"/>
      <c r="AC147" s="556"/>
      <c r="AD147" s="555"/>
      <c r="AE147" s="557"/>
      <c r="AF147" s="12"/>
      <c r="AG147" s="536"/>
      <c r="AH147" s="536"/>
      <c r="AI147" s="547"/>
      <c r="AJ147" s="536"/>
      <c r="AK147" s="538"/>
      <c r="AL147" s="12"/>
      <c r="AM147" s="536"/>
      <c r="AN147" s="536"/>
      <c r="AO147" s="547"/>
      <c r="AP147" s="536"/>
      <c r="AQ147" s="538"/>
      <c r="AR147" s="530"/>
    </row>
    <row r="148" spans="1:44" ht="56.25">
      <c r="A148" s="1008"/>
      <c r="B148" s="1008"/>
      <c r="C148" s="1025"/>
      <c r="D148" s="1024"/>
      <c r="E148" s="1017"/>
      <c r="F148" s="1018"/>
      <c r="G148" s="1017"/>
      <c r="H148" s="539"/>
      <c r="I148" s="312"/>
      <c r="J148" s="536"/>
      <c r="K148" s="51"/>
      <c r="L148" s="43"/>
      <c r="M148" s="537"/>
      <c r="N148" s="49" t="s">
        <v>2894</v>
      </c>
      <c r="O148" s="49" t="s">
        <v>2894</v>
      </c>
      <c r="P148" s="536" t="s">
        <v>120</v>
      </c>
      <c r="Q148" s="547">
        <v>1</v>
      </c>
      <c r="R148" s="536" t="s">
        <v>118</v>
      </c>
      <c r="S148" s="725">
        <v>2500</v>
      </c>
      <c r="T148" s="12"/>
      <c r="U148" s="536"/>
      <c r="V148" s="536"/>
      <c r="W148" s="547"/>
      <c r="X148" s="536"/>
      <c r="Y148" s="537"/>
      <c r="Z148" s="312"/>
      <c r="AA148" s="312"/>
      <c r="AB148" s="555"/>
      <c r="AC148" s="556"/>
      <c r="AD148" s="555"/>
      <c r="AE148" s="557"/>
      <c r="AF148" s="12"/>
      <c r="AG148" s="536"/>
      <c r="AH148" s="536"/>
      <c r="AI148" s="547"/>
      <c r="AJ148" s="536"/>
      <c r="AK148" s="538"/>
      <c r="AL148" s="12"/>
      <c r="AM148" s="536"/>
      <c r="AN148" s="536"/>
      <c r="AO148" s="547"/>
      <c r="AP148" s="536"/>
      <c r="AQ148" s="538"/>
      <c r="AR148" s="530"/>
    </row>
    <row r="149" spans="1:44" ht="56.25">
      <c r="A149" s="1008"/>
      <c r="B149" s="1008"/>
      <c r="C149" s="1025"/>
      <c r="D149" s="1024"/>
      <c r="E149" s="1017"/>
      <c r="F149" s="1018"/>
      <c r="G149" s="1017"/>
      <c r="H149" s="539"/>
      <c r="I149" s="312"/>
      <c r="J149" s="536"/>
      <c r="K149" s="51"/>
      <c r="L149" s="43"/>
      <c r="M149" s="537"/>
      <c r="N149" s="49" t="s">
        <v>2895</v>
      </c>
      <c r="O149" s="49" t="s">
        <v>2895</v>
      </c>
      <c r="P149" s="536" t="s">
        <v>120</v>
      </c>
      <c r="Q149" s="547">
        <v>1</v>
      </c>
      <c r="R149" s="536" t="s">
        <v>118</v>
      </c>
      <c r="S149" s="725">
        <v>2500</v>
      </c>
      <c r="T149" s="12"/>
      <c r="U149" s="536"/>
      <c r="V149" s="536"/>
      <c r="W149" s="547"/>
      <c r="X149" s="536"/>
      <c r="Y149" s="537"/>
      <c r="Z149" s="312"/>
      <c r="AA149" s="312"/>
      <c r="AB149" s="555"/>
      <c r="AC149" s="556"/>
      <c r="AD149" s="555"/>
      <c r="AE149" s="557"/>
      <c r="AF149" s="12"/>
      <c r="AG149" s="536"/>
      <c r="AH149" s="536"/>
      <c r="AI149" s="547"/>
      <c r="AJ149" s="536"/>
      <c r="AK149" s="538"/>
      <c r="AL149" s="12"/>
      <c r="AM149" s="536"/>
      <c r="AN149" s="536"/>
      <c r="AO149" s="547"/>
      <c r="AP149" s="536"/>
      <c r="AQ149" s="538"/>
      <c r="AR149" s="530"/>
    </row>
    <row r="150" spans="1:44" ht="56.25">
      <c r="A150" s="1008"/>
      <c r="B150" s="1008"/>
      <c r="C150" s="1025"/>
      <c r="D150" s="1024"/>
      <c r="E150" s="1017"/>
      <c r="F150" s="1018"/>
      <c r="G150" s="1017"/>
      <c r="H150" s="539"/>
      <c r="I150" s="312"/>
      <c r="J150" s="536"/>
      <c r="K150" s="51"/>
      <c r="L150" s="43"/>
      <c r="M150" s="537"/>
      <c r="N150" s="49" t="s">
        <v>2896</v>
      </c>
      <c r="O150" s="49" t="s">
        <v>2896</v>
      </c>
      <c r="P150" s="536" t="s">
        <v>120</v>
      </c>
      <c r="Q150" s="547">
        <v>1</v>
      </c>
      <c r="R150" s="536" t="s">
        <v>118</v>
      </c>
      <c r="S150" s="725">
        <v>2500</v>
      </c>
      <c r="T150" s="12"/>
      <c r="U150" s="536"/>
      <c r="V150" s="536"/>
      <c r="W150" s="547"/>
      <c r="X150" s="536"/>
      <c r="Y150" s="537"/>
      <c r="Z150" s="312"/>
      <c r="AA150" s="312"/>
      <c r="AB150" s="555"/>
      <c r="AC150" s="556"/>
      <c r="AD150" s="555"/>
      <c r="AE150" s="557"/>
      <c r="AF150" s="12"/>
      <c r="AG150" s="536"/>
      <c r="AH150" s="536"/>
      <c r="AI150" s="547"/>
      <c r="AJ150" s="536"/>
      <c r="AK150" s="538"/>
      <c r="AL150" s="12"/>
      <c r="AM150" s="536"/>
      <c r="AN150" s="536"/>
      <c r="AO150" s="547"/>
      <c r="AP150" s="536"/>
      <c r="AQ150" s="538"/>
      <c r="AR150" s="530"/>
    </row>
    <row r="151" spans="1:44" ht="18.75">
      <c r="A151" s="1008">
        <v>65</v>
      </c>
      <c r="B151" s="1008">
        <v>738983</v>
      </c>
      <c r="C151" s="1025" t="s">
        <v>188</v>
      </c>
      <c r="D151" s="1024">
        <v>2.1</v>
      </c>
      <c r="E151" s="1017">
        <v>23498</v>
      </c>
      <c r="F151" s="1018">
        <v>2.1</v>
      </c>
      <c r="G151" s="1017">
        <v>23498</v>
      </c>
      <c r="H151" s="1019" t="s">
        <v>60</v>
      </c>
      <c r="I151" s="971" t="s">
        <v>2719</v>
      </c>
      <c r="J151" s="1020" t="s">
        <v>114</v>
      </c>
      <c r="K151" s="558">
        <v>1</v>
      </c>
      <c r="L151" s="553" t="s">
        <v>17</v>
      </c>
      <c r="M151" s="1017">
        <v>24535.753270000001</v>
      </c>
      <c r="N151" s="538"/>
      <c r="O151" s="536"/>
      <c r="P151" s="536"/>
      <c r="Q151" s="547"/>
      <c r="R151" s="536"/>
      <c r="S151" s="725"/>
      <c r="T151" s="12"/>
      <c r="U151" s="536"/>
      <c r="V151" s="536"/>
      <c r="W151" s="547"/>
      <c r="X151" s="536"/>
      <c r="Y151" s="537"/>
      <c r="Z151" s="12"/>
      <c r="AA151" s="536"/>
      <c r="AB151" s="536"/>
      <c r="AC151" s="547"/>
      <c r="AD151" s="536"/>
      <c r="AE151" s="537"/>
      <c r="AF151" s="12"/>
      <c r="AG151" s="536"/>
      <c r="AH151" s="536"/>
      <c r="AI151" s="547"/>
      <c r="AJ151" s="536"/>
      <c r="AK151" s="538"/>
      <c r="AL151" s="1031"/>
      <c r="AM151" s="1023"/>
      <c r="AN151" s="1042"/>
      <c r="AO151" s="547"/>
      <c r="AP151" s="553"/>
      <c r="AQ151" s="1027"/>
      <c r="AR151" s="530"/>
    </row>
    <row r="152" spans="1:44" ht="18.75">
      <c r="A152" s="1008"/>
      <c r="B152" s="1008"/>
      <c r="C152" s="1025"/>
      <c r="D152" s="1024"/>
      <c r="E152" s="1017"/>
      <c r="F152" s="1018"/>
      <c r="G152" s="1017"/>
      <c r="H152" s="1019"/>
      <c r="I152" s="971"/>
      <c r="J152" s="1020"/>
      <c r="K152" s="51">
        <v>19370</v>
      </c>
      <c r="L152" s="43" t="s">
        <v>32</v>
      </c>
      <c r="M152" s="1017"/>
      <c r="N152" s="538"/>
      <c r="O152" s="536"/>
      <c r="P152" s="536"/>
      <c r="Q152" s="547"/>
      <c r="R152" s="536"/>
      <c r="S152" s="725"/>
      <c r="T152" s="12"/>
      <c r="U152" s="536"/>
      <c r="V152" s="536"/>
      <c r="W152" s="547"/>
      <c r="X152" s="536"/>
      <c r="Y152" s="537"/>
      <c r="Z152" s="12"/>
      <c r="AA152" s="536"/>
      <c r="AB152" s="536"/>
      <c r="AC152" s="547"/>
      <c r="AD152" s="536"/>
      <c r="AE152" s="537"/>
      <c r="AF152" s="12"/>
      <c r="AG152" s="536"/>
      <c r="AH152" s="536"/>
      <c r="AI152" s="547"/>
      <c r="AJ152" s="536"/>
      <c r="AK152" s="538"/>
      <c r="AL152" s="1026"/>
      <c r="AM152" s="1026"/>
      <c r="AN152" s="1026"/>
      <c r="AO152" s="536"/>
      <c r="AP152" s="43"/>
      <c r="AQ152" s="1027"/>
      <c r="AR152" s="530"/>
    </row>
    <row r="153" spans="1:44" ht="18.75">
      <c r="A153" s="1008">
        <v>66</v>
      </c>
      <c r="B153" s="1008">
        <v>738985</v>
      </c>
      <c r="C153" s="1025" t="s">
        <v>190</v>
      </c>
      <c r="D153" s="1024">
        <v>1.01</v>
      </c>
      <c r="E153" s="1017">
        <v>11939</v>
      </c>
      <c r="F153" s="1018">
        <v>1.01</v>
      </c>
      <c r="G153" s="1017">
        <v>11939</v>
      </c>
      <c r="H153" s="1019" t="s">
        <v>60</v>
      </c>
      <c r="I153" s="971" t="s">
        <v>2720</v>
      </c>
      <c r="J153" s="1020" t="s">
        <v>114</v>
      </c>
      <c r="K153" s="53">
        <v>0.82</v>
      </c>
      <c r="L153" s="553" t="s">
        <v>17</v>
      </c>
      <c r="M153" s="1017">
        <v>12504.3081</v>
      </c>
      <c r="N153" s="538"/>
      <c r="O153" s="536"/>
      <c r="P153" s="536"/>
      <c r="Q153" s="547"/>
      <c r="R153" s="536"/>
      <c r="S153" s="725"/>
      <c r="T153" s="12"/>
      <c r="U153" s="536"/>
      <c r="V153" s="536"/>
      <c r="W153" s="547"/>
      <c r="X153" s="536"/>
      <c r="Y153" s="537"/>
      <c r="Z153" s="971"/>
      <c r="AA153" s="971"/>
      <c r="AB153" s="1028"/>
      <c r="AC153" s="1029"/>
      <c r="AD153" s="1028"/>
      <c r="AE153" s="1033"/>
      <c r="AF153" s="12"/>
      <c r="AG153" s="536"/>
      <c r="AH153" s="536"/>
      <c r="AI153" s="547"/>
      <c r="AJ153" s="536"/>
      <c r="AK153" s="538"/>
      <c r="AL153" s="12"/>
      <c r="AM153" s="536"/>
      <c r="AN153" s="536"/>
      <c r="AO153" s="547"/>
      <c r="AP153" s="536"/>
      <c r="AQ153" s="538"/>
      <c r="AR153" s="530"/>
    </row>
    <row r="154" spans="1:44" ht="18.75">
      <c r="A154" s="1008"/>
      <c r="B154" s="1008"/>
      <c r="C154" s="1025"/>
      <c r="D154" s="1024"/>
      <c r="E154" s="1017"/>
      <c r="F154" s="1018"/>
      <c r="G154" s="1017"/>
      <c r="H154" s="1019"/>
      <c r="I154" s="971"/>
      <c r="J154" s="1020"/>
      <c r="K154" s="54">
        <v>10014</v>
      </c>
      <c r="L154" s="43" t="s">
        <v>32</v>
      </c>
      <c r="M154" s="1017"/>
      <c r="N154" s="538"/>
      <c r="O154" s="536"/>
      <c r="P154" s="536"/>
      <c r="Q154" s="547"/>
      <c r="R154" s="536"/>
      <c r="S154" s="725"/>
      <c r="T154" s="12"/>
      <c r="U154" s="536"/>
      <c r="V154" s="536"/>
      <c r="W154" s="547"/>
      <c r="X154" s="536"/>
      <c r="Y154" s="537"/>
      <c r="Z154" s="971"/>
      <c r="AA154" s="971"/>
      <c r="AB154" s="1028"/>
      <c r="AC154" s="1029"/>
      <c r="AD154" s="1028"/>
      <c r="AE154" s="1033"/>
      <c r="AF154" s="12"/>
      <c r="AG154" s="536"/>
      <c r="AH154" s="536"/>
      <c r="AI154" s="547"/>
      <c r="AJ154" s="536"/>
      <c r="AK154" s="538"/>
      <c r="AL154" s="12"/>
      <c r="AM154" s="536"/>
      <c r="AN154" s="536"/>
      <c r="AO154" s="547"/>
      <c r="AP154" s="536"/>
      <c r="AQ154" s="538"/>
      <c r="AR154" s="530"/>
    </row>
    <row r="155" spans="1:44" ht="18.75">
      <c r="A155" s="1008"/>
      <c r="B155" s="1008"/>
      <c r="C155" s="1025"/>
      <c r="D155" s="1024"/>
      <c r="E155" s="1017"/>
      <c r="F155" s="1018"/>
      <c r="G155" s="1017"/>
      <c r="H155" s="539"/>
      <c r="I155" s="539"/>
      <c r="J155" s="536"/>
      <c r="K155" s="47"/>
      <c r="L155" s="43"/>
      <c r="M155" s="537"/>
      <c r="N155" s="49"/>
      <c r="O155" s="49"/>
      <c r="P155" s="536"/>
      <c r="Q155" s="47"/>
      <c r="R155" s="43"/>
      <c r="S155" s="725"/>
      <c r="T155" s="1019"/>
      <c r="U155" s="1019"/>
      <c r="V155" s="536"/>
      <c r="W155" s="47"/>
      <c r="X155" s="43"/>
      <c r="Y155" s="537"/>
      <c r="Z155" s="312"/>
      <c r="AA155" s="312"/>
      <c r="AB155" s="555"/>
      <c r="AC155" s="556"/>
      <c r="AD155" s="555"/>
      <c r="AE155" s="557"/>
      <c r="AF155" s="12"/>
      <c r="AG155" s="536"/>
      <c r="AH155" s="536"/>
      <c r="AI155" s="547"/>
      <c r="AJ155" s="536"/>
      <c r="AK155" s="538"/>
      <c r="AL155" s="12"/>
      <c r="AM155" s="536"/>
      <c r="AN155" s="536"/>
      <c r="AO155" s="547"/>
      <c r="AP155" s="536"/>
      <c r="AQ155" s="538"/>
      <c r="AR155" s="530"/>
    </row>
    <row r="156" spans="1:44" ht="56.25">
      <c r="A156" s="536">
        <v>67</v>
      </c>
      <c r="B156" s="536">
        <v>738774</v>
      </c>
      <c r="C156" s="546" t="s">
        <v>191</v>
      </c>
      <c r="D156" s="547">
        <v>0.56999999999999995</v>
      </c>
      <c r="E156" s="537">
        <v>10400</v>
      </c>
      <c r="F156" s="548">
        <v>0.56999999999999995</v>
      </c>
      <c r="G156" s="537">
        <v>10400</v>
      </c>
      <c r="H156" s="536"/>
      <c r="I156" s="313"/>
      <c r="J156" s="536"/>
      <c r="K156" s="42"/>
      <c r="L156" s="50"/>
      <c r="M156" s="537"/>
      <c r="N156" s="538" t="s">
        <v>2808</v>
      </c>
      <c r="O156" s="538" t="s">
        <v>2808</v>
      </c>
      <c r="P156" s="536" t="s">
        <v>120</v>
      </c>
      <c r="Q156" s="547">
        <v>2</v>
      </c>
      <c r="R156" s="536" t="s">
        <v>118</v>
      </c>
      <c r="S156" s="725">
        <v>190</v>
      </c>
      <c r="T156" s="12"/>
      <c r="U156" s="536"/>
      <c r="V156" s="536"/>
      <c r="W156" s="547"/>
      <c r="X156" s="536"/>
      <c r="Y156" s="537"/>
      <c r="Z156" s="12"/>
      <c r="AA156" s="536"/>
      <c r="AB156" s="536"/>
      <c r="AC156" s="547"/>
      <c r="AD156" s="536"/>
      <c r="AE156" s="537"/>
      <c r="AF156" s="12"/>
      <c r="AG156" s="536"/>
      <c r="AH156" s="536"/>
      <c r="AI156" s="547"/>
      <c r="AJ156" s="536"/>
      <c r="AK156" s="538"/>
      <c r="AL156" s="12"/>
      <c r="AM156" s="536"/>
      <c r="AN156" s="536"/>
      <c r="AO156" s="547"/>
      <c r="AP156" s="536"/>
      <c r="AQ156" s="538"/>
      <c r="AR156" s="530"/>
    </row>
    <row r="157" spans="1:44" ht="56.25">
      <c r="A157" s="536">
        <v>68</v>
      </c>
      <c r="B157" s="536">
        <v>739428</v>
      </c>
      <c r="C157" s="546" t="s">
        <v>192</v>
      </c>
      <c r="D157" s="547">
        <v>0.59</v>
      </c>
      <c r="E157" s="537">
        <v>5200</v>
      </c>
      <c r="F157" s="548">
        <v>0.59</v>
      </c>
      <c r="G157" s="537">
        <v>5200</v>
      </c>
      <c r="H157" s="536"/>
      <c r="I157" s="313"/>
      <c r="J157" s="536"/>
      <c r="K157" s="42"/>
      <c r="L157" s="50"/>
      <c r="M157" s="537"/>
      <c r="N157" s="538"/>
      <c r="O157" s="536"/>
      <c r="P157" s="536"/>
      <c r="Q157" s="547"/>
      <c r="R157" s="536"/>
      <c r="S157" s="725"/>
      <c r="T157" s="12"/>
      <c r="U157" s="536"/>
      <c r="V157" s="536"/>
      <c r="W157" s="547"/>
      <c r="X157" s="536"/>
      <c r="Y157" s="537"/>
      <c r="Z157" s="12"/>
      <c r="AA157" s="536"/>
      <c r="AB157" s="536"/>
      <c r="AC157" s="547"/>
      <c r="AD157" s="536"/>
      <c r="AE157" s="537"/>
      <c r="AF157" s="12"/>
      <c r="AG157" s="536"/>
      <c r="AH157" s="536" t="s">
        <v>93</v>
      </c>
      <c r="AI157" s="547">
        <v>1</v>
      </c>
      <c r="AJ157" s="536" t="s">
        <v>118</v>
      </c>
      <c r="AK157" s="537">
        <v>50</v>
      </c>
      <c r="AL157" s="12"/>
      <c r="AM157" s="536"/>
      <c r="AN157" s="536"/>
      <c r="AO157" s="547"/>
      <c r="AP157" s="536"/>
      <c r="AQ157" s="538"/>
      <c r="AR157" s="530"/>
    </row>
    <row r="158" spans="1:44" ht="56.25">
      <c r="A158" s="1008">
        <v>69</v>
      </c>
      <c r="B158" s="1008">
        <v>738774</v>
      </c>
      <c r="C158" s="1025" t="s">
        <v>193</v>
      </c>
      <c r="D158" s="1024">
        <v>0.38</v>
      </c>
      <c r="E158" s="1017">
        <v>11020</v>
      </c>
      <c r="F158" s="1018">
        <v>0.38</v>
      </c>
      <c r="G158" s="1017">
        <v>11020</v>
      </c>
      <c r="H158" s="1019" t="s">
        <v>60</v>
      </c>
      <c r="I158" s="971" t="s">
        <v>2721</v>
      </c>
      <c r="J158" s="1020" t="s">
        <v>114</v>
      </c>
      <c r="K158" s="53">
        <v>0.115</v>
      </c>
      <c r="L158" s="553" t="s">
        <v>17</v>
      </c>
      <c r="M158" s="1017">
        <v>7469.13681</v>
      </c>
      <c r="N158" s="538" t="s">
        <v>2809</v>
      </c>
      <c r="O158" s="538" t="s">
        <v>2810</v>
      </c>
      <c r="P158" s="536" t="s">
        <v>120</v>
      </c>
      <c r="Q158" s="547">
        <v>2</v>
      </c>
      <c r="R158" s="536" t="s">
        <v>118</v>
      </c>
      <c r="S158" s="725">
        <v>50</v>
      </c>
      <c r="T158" s="12"/>
      <c r="U158" s="536"/>
      <c r="V158" s="536"/>
      <c r="W158" s="547"/>
      <c r="X158" s="536"/>
      <c r="Y158" s="537"/>
      <c r="Z158" s="12"/>
      <c r="AA158" s="536"/>
      <c r="AB158" s="536"/>
      <c r="AC158" s="547"/>
      <c r="AD158" s="536"/>
      <c r="AE158" s="537"/>
      <c r="AF158" s="12"/>
      <c r="AG158" s="536"/>
      <c r="AH158" s="536"/>
      <c r="AI158" s="547"/>
      <c r="AJ158" s="536"/>
      <c r="AK158" s="538"/>
      <c r="AL158" s="12"/>
      <c r="AM158" s="536"/>
      <c r="AN158" s="536"/>
      <c r="AO158" s="547"/>
      <c r="AP158" s="536"/>
      <c r="AQ158" s="538"/>
      <c r="AR158" s="530"/>
    </row>
    <row r="159" spans="1:44" ht="18.75">
      <c r="A159" s="1008"/>
      <c r="B159" s="1008"/>
      <c r="C159" s="1025"/>
      <c r="D159" s="1024"/>
      <c r="E159" s="1017"/>
      <c r="F159" s="1018"/>
      <c r="G159" s="1017"/>
      <c r="H159" s="1019"/>
      <c r="I159" s="971"/>
      <c r="J159" s="1020"/>
      <c r="K159" s="54">
        <v>6060</v>
      </c>
      <c r="L159" s="43" t="s">
        <v>32</v>
      </c>
      <c r="M159" s="1017"/>
      <c r="N159" s="538"/>
      <c r="O159" s="536"/>
      <c r="P159" s="536"/>
      <c r="Q159" s="547"/>
      <c r="R159" s="536"/>
      <c r="S159" s="725"/>
      <c r="T159" s="12"/>
      <c r="U159" s="536"/>
      <c r="V159" s="536"/>
      <c r="W159" s="547"/>
      <c r="X159" s="536"/>
      <c r="Y159" s="537"/>
      <c r="Z159" s="12"/>
      <c r="AA159" s="536"/>
      <c r="AB159" s="536"/>
      <c r="AC159" s="547"/>
      <c r="AD159" s="536"/>
      <c r="AE159" s="537"/>
      <c r="AF159" s="12"/>
      <c r="AG159" s="536"/>
      <c r="AH159" s="536"/>
      <c r="AI159" s="547"/>
      <c r="AJ159" s="536"/>
      <c r="AK159" s="538"/>
      <c r="AL159" s="12"/>
      <c r="AM159" s="536"/>
      <c r="AN159" s="536"/>
      <c r="AO159" s="547"/>
      <c r="AP159" s="536"/>
      <c r="AQ159" s="538"/>
      <c r="AR159" s="530"/>
    </row>
    <row r="160" spans="1:44" ht="56.25">
      <c r="A160" s="536">
        <v>70</v>
      </c>
      <c r="B160" s="536">
        <v>738774</v>
      </c>
      <c r="C160" s="546" t="s">
        <v>194</v>
      </c>
      <c r="D160" s="547">
        <v>1.34</v>
      </c>
      <c r="E160" s="537">
        <v>24463</v>
      </c>
      <c r="F160" s="548">
        <v>1.34</v>
      </c>
      <c r="G160" s="537">
        <v>24463</v>
      </c>
      <c r="H160" s="536"/>
      <c r="I160" s="536"/>
      <c r="J160" s="536"/>
      <c r="K160" s="47"/>
      <c r="L160" s="43"/>
      <c r="M160" s="537"/>
      <c r="N160" s="538"/>
      <c r="O160" s="536"/>
      <c r="P160" s="536"/>
      <c r="Q160" s="547"/>
      <c r="R160" s="536"/>
      <c r="S160" s="725"/>
      <c r="T160" s="12"/>
      <c r="U160" s="536"/>
      <c r="V160" s="536"/>
      <c r="W160" s="547"/>
      <c r="X160" s="536"/>
      <c r="Y160" s="537"/>
      <c r="Z160" s="12"/>
      <c r="AA160" s="536"/>
      <c r="AB160" s="536"/>
      <c r="AC160" s="547"/>
      <c r="AD160" s="536"/>
      <c r="AE160" s="537"/>
      <c r="AF160" s="12"/>
      <c r="AG160" s="536"/>
      <c r="AH160" s="536"/>
      <c r="AI160" s="547"/>
      <c r="AJ160" s="536"/>
      <c r="AK160" s="538"/>
      <c r="AL160" s="12"/>
      <c r="AM160" s="536"/>
      <c r="AN160" s="536" t="s">
        <v>93</v>
      </c>
      <c r="AO160" s="547">
        <v>1</v>
      </c>
      <c r="AP160" s="536" t="s">
        <v>118</v>
      </c>
      <c r="AQ160" s="537">
        <v>50</v>
      </c>
      <c r="AR160" s="530"/>
    </row>
    <row r="161" spans="1:44" ht="56.25">
      <c r="A161" s="1008">
        <v>71</v>
      </c>
      <c r="B161" s="1008">
        <v>738873</v>
      </c>
      <c r="C161" s="1025" t="s">
        <v>195</v>
      </c>
      <c r="D161" s="1024">
        <v>2.74</v>
      </c>
      <c r="E161" s="1017">
        <v>42482</v>
      </c>
      <c r="F161" s="1018">
        <v>2.74</v>
      </c>
      <c r="G161" s="1017">
        <v>42482</v>
      </c>
      <c r="H161" s="1019" t="s">
        <v>60</v>
      </c>
      <c r="I161" s="971" t="s">
        <v>2722</v>
      </c>
      <c r="J161" s="1020" t="s">
        <v>114</v>
      </c>
      <c r="K161" s="558">
        <v>2.2000000000000002</v>
      </c>
      <c r="L161" s="553" t="s">
        <v>17</v>
      </c>
      <c r="M161" s="1017">
        <v>50976.547359999997</v>
      </c>
      <c r="N161" s="538" t="s">
        <v>2811</v>
      </c>
      <c r="O161" s="538" t="s">
        <v>2812</v>
      </c>
      <c r="P161" s="536" t="s">
        <v>120</v>
      </c>
      <c r="Q161" s="547">
        <v>2</v>
      </c>
      <c r="R161" s="536" t="s">
        <v>118</v>
      </c>
      <c r="S161" s="725">
        <v>500</v>
      </c>
      <c r="T161" s="12"/>
      <c r="U161" s="536"/>
      <c r="V161" s="536"/>
      <c r="W161" s="547"/>
      <c r="X161" s="536"/>
      <c r="Y161" s="537"/>
      <c r="Z161" s="12"/>
      <c r="AA161" s="536"/>
      <c r="AB161" s="536"/>
      <c r="AC161" s="547"/>
      <c r="AD161" s="536"/>
      <c r="AE161" s="537"/>
      <c r="AF161" s="12"/>
      <c r="AG161" s="536"/>
      <c r="AH161" s="536"/>
      <c r="AI161" s="547"/>
      <c r="AJ161" s="536"/>
      <c r="AK161" s="538"/>
      <c r="AL161" s="12"/>
      <c r="AM161" s="536"/>
      <c r="AN161" s="536"/>
      <c r="AO161" s="547"/>
      <c r="AP161" s="536"/>
      <c r="AQ161" s="538"/>
      <c r="AR161" s="530"/>
    </row>
    <row r="162" spans="1:44" ht="56.25">
      <c r="A162" s="1008"/>
      <c r="B162" s="1008"/>
      <c r="C162" s="1025"/>
      <c r="D162" s="1024"/>
      <c r="E162" s="1017"/>
      <c r="F162" s="1018"/>
      <c r="G162" s="1017"/>
      <c r="H162" s="1019"/>
      <c r="I162" s="971"/>
      <c r="J162" s="1020"/>
      <c r="K162" s="51">
        <v>37529</v>
      </c>
      <c r="L162" s="43" t="s">
        <v>32</v>
      </c>
      <c r="M162" s="1017"/>
      <c r="N162" s="538" t="s">
        <v>2813</v>
      </c>
      <c r="O162" s="538" t="s">
        <v>2813</v>
      </c>
      <c r="P162" s="536" t="s">
        <v>120</v>
      </c>
      <c r="Q162" s="547">
        <v>2</v>
      </c>
      <c r="R162" s="536" t="s">
        <v>118</v>
      </c>
      <c r="S162" s="725">
        <v>250</v>
      </c>
      <c r="T162" s="12"/>
      <c r="U162" s="536"/>
      <c r="V162" s="536"/>
      <c r="W162" s="547"/>
      <c r="X162" s="536"/>
      <c r="Y162" s="537"/>
      <c r="Z162" s="12"/>
      <c r="AA162" s="536"/>
      <c r="AB162" s="536"/>
      <c r="AC162" s="547"/>
      <c r="AD162" s="536"/>
      <c r="AE162" s="537"/>
      <c r="AF162" s="12"/>
      <c r="AG162" s="536"/>
      <c r="AH162" s="536"/>
      <c r="AI162" s="547"/>
      <c r="AJ162" s="536"/>
      <c r="AK162" s="538"/>
      <c r="AL162" s="12"/>
      <c r="AM162" s="536"/>
      <c r="AN162" s="536"/>
      <c r="AO162" s="547"/>
      <c r="AP162" s="536"/>
      <c r="AQ162" s="538"/>
      <c r="AR162" s="530"/>
    </row>
    <row r="163" spans="1:44" ht="56.25">
      <c r="A163" s="1008"/>
      <c r="B163" s="1008"/>
      <c r="C163" s="1025"/>
      <c r="D163" s="1024"/>
      <c r="E163" s="1017"/>
      <c r="F163" s="1018"/>
      <c r="G163" s="1017"/>
      <c r="H163" s="539"/>
      <c r="I163" s="312"/>
      <c r="J163" s="536"/>
      <c r="K163" s="51"/>
      <c r="L163" s="43"/>
      <c r="M163" s="537"/>
      <c r="N163" s="538" t="s">
        <v>2814</v>
      </c>
      <c r="O163" s="538" t="s">
        <v>2815</v>
      </c>
      <c r="P163" s="536" t="s">
        <v>120</v>
      </c>
      <c r="Q163" s="547">
        <v>2</v>
      </c>
      <c r="R163" s="536" t="s">
        <v>118</v>
      </c>
      <c r="S163" s="725">
        <v>390</v>
      </c>
      <c r="T163" s="12"/>
      <c r="U163" s="536"/>
      <c r="V163" s="536"/>
      <c r="W163" s="547"/>
      <c r="X163" s="536"/>
      <c r="Y163" s="537"/>
      <c r="Z163" s="12"/>
      <c r="AA163" s="536"/>
      <c r="AB163" s="536"/>
      <c r="AC163" s="547"/>
      <c r="AD163" s="536"/>
      <c r="AE163" s="537"/>
      <c r="AF163" s="12"/>
      <c r="AG163" s="536"/>
      <c r="AH163" s="536"/>
      <c r="AI163" s="547"/>
      <c r="AJ163" s="536"/>
      <c r="AK163" s="538"/>
      <c r="AL163" s="12"/>
      <c r="AM163" s="536"/>
      <c r="AN163" s="536"/>
      <c r="AO163" s="547"/>
      <c r="AP163" s="536"/>
      <c r="AQ163" s="538"/>
      <c r="AR163" s="530"/>
    </row>
    <row r="164" spans="1:44" ht="56.25">
      <c r="A164" s="1008"/>
      <c r="B164" s="1008"/>
      <c r="C164" s="1025"/>
      <c r="D164" s="1024"/>
      <c r="E164" s="1017"/>
      <c r="F164" s="1018"/>
      <c r="G164" s="1017"/>
      <c r="H164" s="539"/>
      <c r="I164" s="539"/>
      <c r="J164" s="536"/>
      <c r="K164" s="57"/>
      <c r="L164" s="43"/>
      <c r="M164" s="537"/>
      <c r="N164" s="538" t="s">
        <v>2816</v>
      </c>
      <c r="O164" s="538" t="s">
        <v>2817</v>
      </c>
      <c r="P164" s="536" t="s">
        <v>120</v>
      </c>
      <c r="Q164" s="547">
        <v>2</v>
      </c>
      <c r="R164" s="536" t="s">
        <v>118</v>
      </c>
      <c r="S164" s="725">
        <v>300</v>
      </c>
      <c r="T164" s="1019"/>
      <c r="U164" s="1019"/>
      <c r="V164" s="536"/>
      <c r="W164" s="57"/>
      <c r="X164" s="43"/>
      <c r="Y164" s="537"/>
      <c r="Z164" s="1019"/>
      <c r="AA164" s="1019"/>
      <c r="AB164" s="536"/>
      <c r="AC164" s="57"/>
      <c r="AD164" s="43"/>
      <c r="AE164" s="537"/>
      <c r="AF164" s="1019"/>
      <c r="AG164" s="1019"/>
      <c r="AH164" s="536"/>
      <c r="AI164" s="57"/>
      <c r="AJ164" s="43"/>
      <c r="AK164" s="538"/>
      <c r="AL164" s="12"/>
      <c r="AM164" s="536"/>
      <c r="AN164" s="536"/>
      <c r="AO164" s="547"/>
      <c r="AP164" s="536"/>
      <c r="AQ164" s="538"/>
      <c r="AR164" s="530"/>
    </row>
    <row r="165" spans="1:44" ht="56.25">
      <c r="A165" s="1008">
        <v>72</v>
      </c>
      <c r="B165" s="1008">
        <v>738982</v>
      </c>
      <c r="C165" s="1025" t="s">
        <v>196</v>
      </c>
      <c r="D165" s="1024">
        <v>1.51</v>
      </c>
      <c r="E165" s="1017">
        <v>21796</v>
      </c>
      <c r="F165" s="1018">
        <v>1.51</v>
      </c>
      <c r="G165" s="1017">
        <v>21796</v>
      </c>
      <c r="H165" s="536"/>
      <c r="I165" s="536"/>
      <c r="J165" s="536"/>
      <c r="K165" s="47"/>
      <c r="L165" s="43"/>
      <c r="M165" s="537"/>
      <c r="N165" s="538" t="s">
        <v>2897</v>
      </c>
      <c r="O165" s="538" t="s">
        <v>2897</v>
      </c>
      <c r="P165" s="536" t="s">
        <v>120</v>
      </c>
      <c r="Q165" s="547">
        <v>1</v>
      </c>
      <c r="R165" s="536" t="s">
        <v>118</v>
      </c>
      <c r="S165" s="725">
        <v>2500</v>
      </c>
      <c r="T165" s="1030"/>
      <c r="U165" s="1030"/>
      <c r="V165" s="1028"/>
      <c r="W165" s="1044"/>
      <c r="X165" s="1037"/>
      <c r="Y165" s="1033"/>
      <c r="Z165" s="12"/>
      <c r="AA165" s="536"/>
      <c r="AB165" s="536"/>
      <c r="AC165" s="547"/>
      <c r="AD165" s="536"/>
      <c r="AE165" s="537"/>
      <c r="AF165" s="12"/>
      <c r="AG165" s="536"/>
      <c r="AH165" s="536"/>
      <c r="AI165" s="547"/>
      <c r="AJ165" s="536"/>
      <c r="AK165" s="538"/>
      <c r="AL165" s="1008"/>
      <c r="AM165" s="1008"/>
      <c r="AN165" s="536"/>
      <c r="AO165" s="47"/>
      <c r="AP165" s="43"/>
      <c r="AQ165" s="538"/>
      <c r="AR165" s="530"/>
    </row>
    <row r="166" spans="1:44" ht="18.75">
      <c r="A166" s="1008"/>
      <c r="B166" s="1008"/>
      <c r="C166" s="1025"/>
      <c r="D166" s="1024"/>
      <c r="E166" s="1017"/>
      <c r="F166" s="1018"/>
      <c r="G166" s="1017"/>
      <c r="H166" s="539"/>
      <c r="I166" s="313"/>
      <c r="J166" s="536"/>
      <c r="K166" s="42"/>
      <c r="L166" s="50"/>
      <c r="M166" s="537"/>
      <c r="N166" s="318"/>
      <c r="O166" s="318"/>
      <c r="P166" s="536"/>
      <c r="Q166" s="547"/>
      <c r="R166" s="536"/>
      <c r="S166" s="725"/>
      <c r="T166" s="1030"/>
      <c r="U166" s="1030"/>
      <c r="V166" s="1028"/>
      <c r="W166" s="1044"/>
      <c r="X166" s="1037"/>
      <c r="Y166" s="1033"/>
      <c r="Z166" s="12"/>
      <c r="AA166" s="536"/>
      <c r="AB166" s="536"/>
      <c r="AC166" s="547"/>
      <c r="AD166" s="536"/>
      <c r="AE166" s="537"/>
      <c r="AF166" s="12"/>
      <c r="AG166" s="536"/>
      <c r="AH166" s="536"/>
      <c r="AI166" s="547"/>
      <c r="AJ166" s="536"/>
      <c r="AK166" s="538"/>
      <c r="AL166" s="12"/>
      <c r="AM166" s="536"/>
      <c r="AN166" s="536"/>
      <c r="AO166" s="547"/>
      <c r="AP166" s="536"/>
      <c r="AQ166" s="538"/>
      <c r="AR166" s="530"/>
    </row>
    <row r="167" spans="1:44" ht="18.75">
      <c r="A167" s="1008">
        <v>73</v>
      </c>
      <c r="B167" s="1008"/>
      <c r="C167" s="1025" t="s">
        <v>197</v>
      </c>
      <c r="D167" s="1024">
        <v>0.45200000000000001</v>
      </c>
      <c r="E167" s="1017">
        <v>6509</v>
      </c>
      <c r="F167" s="1018">
        <v>0.45200000000000001</v>
      </c>
      <c r="G167" s="1017">
        <v>6509</v>
      </c>
      <c r="H167" s="536"/>
      <c r="I167" s="536"/>
      <c r="J167" s="536"/>
      <c r="K167" s="47"/>
      <c r="L167" s="50"/>
      <c r="M167" s="537"/>
      <c r="N167" s="903" t="s">
        <v>2898</v>
      </c>
      <c r="O167" s="903" t="s">
        <v>2899</v>
      </c>
      <c r="P167" s="1020" t="s">
        <v>114</v>
      </c>
      <c r="Q167" s="547">
        <v>0.17399999999999999</v>
      </c>
      <c r="R167" s="553" t="s">
        <v>17</v>
      </c>
      <c r="S167" s="1034">
        <v>3182.74</v>
      </c>
      <c r="T167" s="12"/>
      <c r="U167" s="536"/>
      <c r="V167" s="536"/>
      <c r="W167" s="547"/>
      <c r="X167" s="536"/>
      <c r="Y167" s="537"/>
      <c r="Z167" s="536"/>
      <c r="AA167" s="536"/>
      <c r="AB167" s="536"/>
      <c r="AC167" s="47"/>
      <c r="AD167" s="50"/>
      <c r="AE167" s="537"/>
      <c r="AF167" s="12"/>
      <c r="AG167" s="536"/>
      <c r="AH167" s="536"/>
      <c r="AI167" s="547"/>
      <c r="AJ167" s="536"/>
      <c r="AK167" s="538"/>
      <c r="AL167" s="12"/>
      <c r="AM167" s="536"/>
      <c r="AN167" s="536"/>
      <c r="AO167" s="547"/>
      <c r="AP167" s="536"/>
      <c r="AQ167" s="538"/>
      <c r="AR167" s="530"/>
    </row>
    <row r="168" spans="1:44" ht="18.75">
      <c r="A168" s="1008"/>
      <c r="B168" s="1008"/>
      <c r="C168" s="1025"/>
      <c r="D168" s="1024"/>
      <c r="E168" s="1017"/>
      <c r="F168" s="1018"/>
      <c r="G168" s="1017"/>
      <c r="H168" s="536"/>
      <c r="I168" s="536"/>
      <c r="J168" s="536"/>
      <c r="K168" s="47"/>
      <c r="L168" s="50"/>
      <c r="M168" s="537"/>
      <c r="N168" s="903"/>
      <c r="O168" s="903"/>
      <c r="P168" s="1020"/>
      <c r="Q168" s="539">
        <v>2500</v>
      </c>
      <c r="R168" s="43" t="s">
        <v>32</v>
      </c>
      <c r="S168" s="1035"/>
      <c r="T168" s="12"/>
      <c r="U168" s="536"/>
      <c r="V168" s="536"/>
      <c r="W168" s="547"/>
      <c r="X168" s="536"/>
      <c r="Y168" s="537"/>
      <c r="Z168" s="536"/>
      <c r="AA168" s="536"/>
      <c r="AB168" s="536"/>
      <c r="AC168" s="47"/>
      <c r="AD168" s="50"/>
      <c r="AE168" s="537"/>
      <c r="AF168" s="12"/>
      <c r="AG168" s="536"/>
      <c r="AH168" s="536"/>
      <c r="AI168" s="547"/>
      <c r="AJ168" s="536"/>
      <c r="AK168" s="538"/>
      <c r="AL168" s="12"/>
      <c r="AM168" s="536"/>
      <c r="AN168" s="536"/>
      <c r="AO168" s="547"/>
      <c r="AP168" s="536"/>
      <c r="AQ168" s="538"/>
      <c r="AR168" s="530"/>
    </row>
    <row r="169" spans="1:44" ht="18.75">
      <c r="A169" s="1008">
        <v>74</v>
      </c>
      <c r="B169" s="1008">
        <v>738982</v>
      </c>
      <c r="C169" s="1025" t="s">
        <v>198</v>
      </c>
      <c r="D169" s="1024">
        <v>1.3939999999999999</v>
      </c>
      <c r="E169" s="1017">
        <v>19527</v>
      </c>
      <c r="F169" s="1018">
        <v>1.39</v>
      </c>
      <c r="G169" s="1017">
        <v>19527</v>
      </c>
      <c r="H169" s="1019" t="s">
        <v>2723</v>
      </c>
      <c r="I169" s="971" t="s">
        <v>2724</v>
      </c>
      <c r="J169" s="1020" t="s">
        <v>114</v>
      </c>
      <c r="K169" s="558">
        <v>0.3</v>
      </c>
      <c r="L169" s="553" t="s">
        <v>17</v>
      </c>
      <c r="M169" s="1017">
        <v>4742.9139699999996</v>
      </c>
      <c r="N169" s="538"/>
      <c r="O169" s="536"/>
      <c r="P169" s="536"/>
      <c r="Q169" s="547"/>
      <c r="R169" s="536"/>
      <c r="S169" s="725"/>
      <c r="T169" s="12"/>
      <c r="U169" s="536"/>
      <c r="V169" s="536"/>
      <c r="W169" s="547"/>
      <c r="X169" s="536"/>
      <c r="Y169" s="537"/>
      <c r="Z169" s="12"/>
      <c r="AA169" s="536"/>
      <c r="AB169" s="536"/>
      <c r="AC169" s="547"/>
      <c r="AD169" s="536"/>
      <c r="AE169" s="537"/>
      <c r="AF169" s="12"/>
      <c r="AG169" s="536"/>
      <c r="AH169" s="536"/>
      <c r="AI169" s="547"/>
      <c r="AJ169" s="536"/>
      <c r="AK169" s="538"/>
      <c r="AL169" s="12"/>
      <c r="AM169" s="536"/>
      <c r="AN169" s="536"/>
      <c r="AO169" s="547"/>
      <c r="AP169" s="536"/>
      <c r="AQ169" s="538"/>
      <c r="AR169" s="530"/>
    </row>
    <row r="170" spans="1:44" ht="18.75">
      <c r="A170" s="1008"/>
      <c r="B170" s="1008"/>
      <c r="C170" s="1025"/>
      <c r="D170" s="1024"/>
      <c r="E170" s="1017"/>
      <c r="F170" s="1018"/>
      <c r="G170" s="1017"/>
      <c r="H170" s="1019"/>
      <c r="I170" s="971"/>
      <c r="J170" s="1020"/>
      <c r="K170" s="51">
        <v>4025</v>
      </c>
      <c r="L170" s="43" t="s">
        <v>32</v>
      </c>
      <c r="M170" s="1017"/>
      <c r="N170" s="538"/>
      <c r="O170" s="536"/>
      <c r="P170" s="536"/>
      <c r="Q170" s="547"/>
      <c r="R170" s="536"/>
      <c r="S170" s="725"/>
      <c r="T170" s="12"/>
      <c r="U170" s="536"/>
      <c r="V170" s="536"/>
      <c r="W170" s="547"/>
      <c r="X170" s="536"/>
      <c r="Y170" s="537"/>
      <c r="Z170" s="12"/>
      <c r="AA170" s="536"/>
      <c r="AB170" s="536"/>
      <c r="AC170" s="547"/>
      <c r="AD170" s="536"/>
      <c r="AE170" s="537"/>
      <c r="AF170" s="12"/>
      <c r="AG170" s="536"/>
      <c r="AH170" s="536"/>
      <c r="AI170" s="547"/>
      <c r="AJ170" s="536"/>
      <c r="AK170" s="538"/>
      <c r="AL170" s="12"/>
      <c r="AM170" s="536"/>
      <c r="AN170" s="536"/>
      <c r="AO170" s="547"/>
      <c r="AP170" s="536"/>
      <c r="AQ170" s="538"/>
      <c r="AR170" s="530"/>
    </row>
    <row r="171" spans="1:44" ht="56.25">
      <c r="A171" s="1008"/>
      <c r="B171" s="1008"/>
      <c r="C171" s="1025"/>
      <c r="D171" s="1024"/>
      <c r="E171" s="1017"/>
      <c r="F171" s="1018"/>
      <c r="G171" s="1017"/>
      <c r="H171" s="539"/>
      <c r="I171" s="539"/>
      <c r="J171" s="536" t="s">
        <v>49</v>
      </c>
      <c r="K171" s="51">
        <v>52</v>
      </c>
      <c r="L171" s="43" t="s">
        <v>186</v>
      </c>
      <c r="M171" s="537">
        <v>92.626270000000005</v>
      </c>
      <c r="N171" s="538"/>
      <c r="O171" s="536"/>
      <c r="P171" s="536"/>
      <c r="Q171" s="547"/>
      <c r="R171" s="536"/>
      <c r="S171" s="725"/>
      <c r="T171" s="12"/>
      <c r="U171" s="536"/>
      <c r="V171" s="536"/>
      <c r="W171" s="547"/>
      <c r="X171" s="536"/>
      <c r="Y171" s="537"/>
      <c r="Z171" s="12"/>
      <c r="AA171" s="536"/>
      <c r="AB171" s="536"/>
      <c r="AC171" s="547"/>
      <c r="AD171" s="536"/>
      <c r="AE171" s="537"/>
      <c r="AF171" s="12"/>
      <c r="AG171" s="536"/>
      <c r="AH171" s="536"/>
      <c r="AI171" s="547"/>
      <c r="AJ171" s="536"/>
      <c r="AK171" s="538"/>
      <c r="AL171" s="12"/>
      <c r="AM171" s="536"/>
      <c r="AN171" s="536"/>
      <c r="AO171" s="547"/>
      <c r="AP171" s="536"/>
      <c r="AQ171" s="538"/>
      <c r="AR171" s="530"/>
    </row>
    <row r="172" spans="1:44" ht="56.25">
      <c r="A172" s="536">
        <v>75</v>
      </c>
      <c r="B172" s="536">
        <v>738982</v>
      </c>
      <c r="C172" s="546" t="s">
        <v>199</v>
      </c>
      <c r="D172" s="547">
        <v>0.52</v>
      </c>
      <c r="E172" s="537">
        <v>6669</v>
      </c>
      <c r="F172" s="548">
        <v>0.52</v>
      </c>
      <c r="G172" s="537">
        <v>6669</v>
      </c>
      <c r="H172" s="536"/>
      <c r="I172" s="313"/>
      <c r="J172" s="536"/>
      <c r="K172" s="42"/>
      <c r="L172" s="50"/>
      <c r="M172" s="537"/>
      <c r="N172" s="538"/>
      <c r="O172" s="536"/>
      <c r="P172" s="536"/>
      <c r="Q172" s="547"/>
      <c r="R172" s="536"/>
      <c r="S172" s="725"/>
      <c r="T172" s="12"/>
      <c r="U172" s="536"/>
      <c r="V172" s="536"/>
      <c r="W172" s="547"/>
      <c r="X172" s="536"/>
      <c r="Y172" s="537"/>
      <c r="Z172" s="12"/>
      <c r="AA172" s="536"/>
      <c r="AB172" s="536"/>
      <c r="AC172" s="547"/>
      <c r="AD172" s="536"/>
      <c r="AE172" s="537"/>
      <c r="AF172" s="12"/>
      <c r="AG172" s="536"/>
      <c r="AH172" s="536" t="s">
        <v>93</v>
      </c>
      <c r="AI172" s="547">
        <v>1</v>
      </c>
      <c r="AJ172" s="536" t="s">
        <v>118</v>
      </c>
      <c r="AK172" s="537">
        <v>50</v>
      </c>
      <c r="AL172" s="12"/>
      <c r="AM172" s="536"/>
      <c r="AN172" s="536"/>
      <c r="AO172" s="547"/>
      <c r="AP172" s="536"/>
      <c r="AQ172" s="538"/>
      <c r="AR172" s="530"/>
    </row>
    <row r="173" spans="1:44" ht="56.25">
      <c r="A173" s="536">
        <v>76</v>
      </c>
      <c r="B173" s="536">
        <v>742262</v>
      </c>
      <c r="C173" s="1008" t="s">
        <v>200</v>
      </c>
      <c r="D173" s="547">
        <v>0.25</v>
      </c>
      <c r="E173" s="537">
        <v>2548</v>
      </c>
      <c r="F173" s="548">
        <v>0.25</v>
      </c>
      <c r="G173" s="537">
        <v>2548</v>
      </c>
      <c r="H173" s="539"/>
      <c r="I173" s="539"/>
      <c r="J173" s="536"/>
      <c r="K173" s="47"/>
      <c r="L173" s="50"/>
      <c r="M173" s="537"/>
      <c r="N173" s="318" t="s">
        <v>2900</v>
      </c>
      <c r="O173" s="318" t="s">
        <v>2900</v>
      </c>
      <c r="P173" s="536" t="s">
        <v>120</v>
      </c>
      <c r="Q173" s="547">
        <v>1</v>
      </c>
      <c r="R173" s="536" t="s">
        <v>118</v>
      </c>
      <c r="S173" s="725">
        <v>2500</v>
      </c>
      <c r="T173" s="12"/>
      <c r="U173" s="536"/>
      <c r="V173" s="536"/>
      <c r="W173" s="547"/>
      <c r="X173" s="536"/>
      <c r="Y173" s="537"/>
      <c r="Z173" s="1019"/>
      <c r="AA173" s="1019"/>
      <c r="AB173" s="536"/>
      <c r="AC173" s="47"/>
      <c r="AD173" s="50"/>
      <c r="AE173" s="537"/>
      <c r="AF173" s="12"/>
      <c r="AG173" s="536"/>
      <c r="AH173" s="536"/>
      <c r="AI173" s="547"/>
      <c r="AJ173" s="536"/>
      <c r="AK173" s="538"/>
      <c r="AL173" s="12"/>
      <c r="AM173" s="536"/>
      <c r="AN173" s="536"/>
      <c r="AO173" s="547"/>
      <c r="AP173" s="536"/>
      <c r="AQ173" s="538"/>
      <c r="AR173" s="530"/>
    </row>
    <row r="174" spans="1:44" ht="56.25">
      <c r="A174" s="536">
        <v>77</v>
      </c>
      <c r="B174" s="536"/>
      <c r="C174" s="1008"/>
      <c r="D174" s="547"/>
      <c r="E174" s="537"/>
      <c r="F174" s="548"/>
      <c r="G174" s="537"/>
      <c r="H174" s="539"/>
      <c r="I174" s="539"/>
      <c r="J174" s="536"/>
      <c r="K174" s="47"/>
      <c r="L174" s="50"/>
      <c r="M174" s="537"/>
      <c r="N174" s="318" t="s">
        <v>2818</v>
      </c>
      <c r="O174" s="318" t="s">
        <v>2818</v>
      </c>
      <c r="P174" s="536" t="s">
        <v>120</v>
      </c>
      <c r="Q174" s="547">
        <v>1</v>
      </c>
      <c r="R174" s="536" t="s">
        <v>118</v>
      </c>
      <c r="S174" s="725">
        <v>50</v>
      </c>
      <c r="T174" s="12"/>
      <c r="U174" s="536"/>
      <c r="V174" s="536"/>
      <c r="W174" s="547"/>
      <c r="X174" s="536"/>
      <c r="Y174" s="537"/>
      <c r="Z174" s="539"/>
      <c r="AA174" s="539"/>
      <c r="AB174" s="536"/>
      <c r="AC174" s="47"/>
      <c r="AD174" s="50"/>
      <c r="AE174" s="537"/>
      <c r="AF174" s="12"/>
      <c r="AG174" s="536"/>
      <c r="AH174" s="536"/>
      <c r="AI174" s="547"/>
      <c r="AJ174" s="536"/>
      <c r="AK174" s="538"/>
      <c r="AL174" s="12"/>
      <c r="AM174" s="536"/>
      <c r="AN174" s="536"/>
      <c r="AO174" s="547"/>
      <c r="AP174" s="536"/>
      <c r="AQ174" s="538"/>
      <c r="AR174" s="530"/>
    </row>
    <row r="175" spans="1:44" ht="56.25">
      <c r="A175" s="1008">
        <v>78</v>
      </c>
      <c r="B175" s="1008">
        <v>742262</v>
      </c>
      <c r="C175" s="1008" t="s">
        <v>201</v>
      </c>
      <c r="D175" s="547">
        <v>1.19</v>
      </c>
      <c r="E175" s="537">
        <v>19148</v>
      </c>
      <c r="F175" s="548">
        <v>1.19</v>
      </c>
      <c r="G175" s="537">
        <v>19148</v>
      </c>
      <c r="H175" s="539"/>
      <c r="I175" s="539"/>
      <c r="J175" s="536"/>
      <c r="K175" s="47"/>
      <c r="L175" s="50"/>
      <c r="M175" s="537"/>
      <c r="N175" s="318" t="s">
        <v>2868</v>
      </c>
      <c r="O175" s="318" t="s">
        <v>2869</v>
      </c>
      <c r="P175" s="536" t="s">
        <v>120</v>
      </c>
      <c r="Q175" s="547">
        <v>1</v>
      </c>
      <c r="R175" s="536" t="s">
        <v>118</v>
      </c>
      <c r="S175" s="725">
        <v>500</v>
      </c>
      <c r="T175" s="12"/>
      <c r="U175" s="536"/>
      <c r="V175" s="536"/>
      <c r="W175" s="547"/>
      <c r="X175" s="536"/>
      <c r="Y175" s="537"/>
      <c r="Z175" s="1019"/>
      <c r="AA175" s="1019"/>
      <c r="AB175" s="536"/>
      <c r="AC175" s="47"/>
      <c r="AD175" s="50"/>
      <c r="AE175" s="537"/>
      <c r="AF175" s="1019"/>
      <c r="AG175" s="1019"/>
      <c r="AH175" s="536"/>
      <c r="AI175" s="47"/>
      <c r="AJ175" s="50"/>
      <c r="AK175" s="538"/>
      <c r="AL175" s="12"/>
      <c r="AM175" s="536"/>
      <c r="AN175" s="536"/>
      <c r="AO175" s="547"/>
      <c r="AP175" s="536"/>
      <c r="AQ175" s="538"/>
      <c r="AR175" s="530"/>
    </row>
    <row r="176" spans="1:44" ht="56.25">
      <c r="A176" s="1008"/>
      <c r="B176" s="1008"/>
      <c r="C176" s="1008"/>
      <c r="D176" s="547"/>
      <c r="E176" s="537"/>
      <c r="F176" s="548"/>
      <c r="G176" s="537"/>
      <c r="H176" s="539"/>
      <c r="I176" s="539"/>
      <c r="J176" s="536"/>
      <c r="K176" s="47"/>
      <c r="L176" s="50"/>
      <c r="M176" s="537"/>
      <c r="N176" s="318" t="s">
        <v>2870</v>
      </c>
      <c r="O176" s="318" t="s">
        <v>2871</v>
      </c>
      <c r="P176" s="536" t="s">
        <v>120</v>
      </c>
      <c r="Q176" s="547">
        <v>1</v>
      </c>
      <c r="R176" s="536" t="s">
        <v>118</v>
      </c>
      <c r="S176" s="725">
        <v>500</v>
      </c>
      <c r="T176" s="12"/>
      <c r="U176" s="536"/>
      <c r="V176" s="536"/>
      <c r="W176" s="547"/>
      <c r="X176" s="536"/>
      <c r="Y176" s="537"/>
      <c r="Z176" s="539"/>
      <c r="AA176" s="539"/>
      <c r="AB176" s="536"/>
      <c r="AC176" s="47"/>
      <c r="AD176" s="50"/>
      <c r="AE176" s="537"/>
      <c r="AF176" s="539"/>
      <c r="AG176" s="539"/>
      <c r="AH176" s="536"/>
      <c r="AI176" s="47"/>
      <c r="AJ176" s="50"/>
      <c r="AK176" s="538"/>
      <c r="AL176" s="12"/>
      <c r="AM176" s="536"/>
      <c r="AN176" s="536"/>
      <c r="AO176" s="547"/>
      <c r="AP176" s="536"/>
      <c r="AQ176" s="538"/>
      <c r="AR176" s="530"/>
    </row>
    <row r="177" spans="1:44" ht="56.25">
      <c r="A177" s="1008"/>
      <c r="B177" s="1008"/>
      <c r="C177" s="1008"/>
      <c r="D177" s="547"/>
      <c r="E177" s="537"/>
      <c r="F177" s="548"/>
      <c r="G177" s="537"/>
      <c r="H177" s="539"/>
      <c r="I177" s="539"/>
      <c r="J177" s="536"/>
      <c r="K177" s="47"/>
      <c r="L177" s="50"/>
      <c r="M177" s="537"/>
      <c r="N177" s="318" t="s">
        <v>2872</v>
      </c>
      <c r="O177" s="318" t="s">
        <v>2873</v>
      </c>
      <c r="P177" s="536" t="s">
        <v>120</v>
      </c>
      <c r="Q177" s="547">
        <v>1</v>
      </c>
      <c r="R177" s="536" t="s">
        <v>118</v>
      </c>
      <c r="S177" s="725">
        <v>500</v>
      </c>
      <c r="T177" s="12"/>
      <c r="U177" s="536"/>
      <c r="V177" s="536"/>
      <c r="W177" s="547"/>
      <c r="X177" s="536"/>
      <c r="Y177" s="537"/>
      <c r="Z177" s="539"/>
      <c r="AA177" s="539"/>
      <c r="AB177" s="536"/>
      <c r="AC177" s="47"/>
      <c r="AD177" s="50"/>
      <c r="AE177" s="537"/>
      <c r="AF177" s="539"/>
      <c r="AG177" s="539"/>
      <c r="AH177" s="536"/>
      <c r="AI177" s="47"/>
      <c r="AJ177" s="50"/>
      <c r="AK177" s="538"/>
      <c r="AL177" s="12"/>
      <c r="AM177" s="536"/>
      <c r="AN177" s="536"/>
      <c r="AO177" s="547"/>
      <c r="AP177" s="536"/>
      <c r="AQ177" s="538"/>
      <c r="AR177" s="530"/>
    </row>
    <row r="178" spans="1:44" ht="56.25">
      <c r="A178" s="536">
        <v>79</v>
      </c>
      <c r="B178" s="536">
        <v>742262</v>
      </c>
      <c r="C178" s="546" t="s">
        <v>202</v>
      </c>
      <c r="D178" s="547">
        <v>0.39</v>
      </c>
      <c r="E178" s="537">
        <v>5988</v>
      </c>
      <c r="F178" s="548">
        <v>0.39</v>
      </c>
      <c r="G178" s="537">
        <v>5988</v>
      </c>
      <c r="H178" s="539"/>
      <c r="I178" s="539"/>
      <c r="J178" s="536"/>
      <c r="K178" s="47"/>
      <c r="L178" s="50"/>
      <c r="M178" s="537"/>
      <c r="N178" s="318" t="s">
        <v>2874</v>
      </c>
      <c r="O178" s="318" t="s">
        <v>2875</v>
      </c>
      <c r="P178" s="536" t="s">
        <v>120</v>
      </c>
      <c r="Q178" s="547">
        <v>1</v>
      </c>
      <c r="R178" s="536" t="s">
        <v>118</v>
      </c>
      <c r="S178" s="725">
        <v>500</v>
      </c>
      <c r="T178" s="12"/>
      <c r="U178" s="536"/>
      <c r="V178" s="536"/>
      <c r="W178" s="547"/>
      <c r="X178" s="536"/>
      <c r="Y178" s="537"/>
      <c r="Z178" s="12"/>
      <c r="AA178" s="536"/>
      <c r="AB178" s="536"/>
      <c r="AC178" s="547"/>
      <c r="AD178" s="536"/>
      <c r="AE178" s="537"/>
      <c r="AF178" s="12"/>
      <c r="AG178" s="536"/>
      <c r="AH178" s="536"/>
      <c r="AI178" s="547"/>
      <c r="AJ178" s="536"/>
      <c r="AK178" s="538"/>
      <c r="AL178" s="12"/>
      <c r="AM178" s="536"/>
      <c r="AN178" s="536"/>
      <c r="AO178" s="547"/>
      <c r="AP178" s="536"/>
      <c r="AQ178" s="538"/>
      <c r="AR178" s="530"/>
    </row>
    <row r="179" spans="1:44" ht="18.75">
      <c r="A179" s="536">
        <v>80</v>
      </c>
      <c r="B179" s="536">
        <v>742663</v>
      </c>
      <c r="C179" s="546" t="s">
        <v>203</v>
      </c>
      <c r="D179" s="547">
        <v>0.14000000000000001</v>
      </c>
      <c r="E179" s="537">
        <v>4448</v>
      </c>
      <c r="F179" s="548">
        <v>0.14000000000000001</v>
      </c>
      <c r="G179" s="537">
        <v>4448</v>
      </c>
      <c r="H179" s="539"/>
      <c r="I179" s="312"/>
      <c r="J179" s="536"/>
      <c r="K179" s="42"/>
      <c r="L179" s="50"/>
      <c r="M179" s="537"/>
      <c r="N179" s="538"/>
      <c r="O179" s="536"/>
      <c r="P179" s="536"/>
      <c r="Q179" s="547"/>
      <c r="R179" s="536"/>
      <c r="S179" s="725"/>
      <c r="T179" s="12"/>
      <c r="U179" s="536"/>
      <c r="V179" s="536"/>
      <c r="W179" s="547"/>
      <c r="X179" s="536"/>
      <c r="Y179" s="537"/>
      <c r="Z179" s="12"/>
      <c r="AA179" s="536"/>
      <c r="AB179" s="536"/>
      <c r="AC179" s="547"/>
      <c r="AD179" s="536"/>
      <c r="AE179" s="537"/>
      <c r="AF179" s="12"/>
      <c r="AG179" s="536"/>
      <c r="AH179" s="536"/>
      <c r="AI179" s="547"/>
      <c r="AJ179" s="536"/>
      <c r="AK179" s="538"/>
      <c r="AL179" s="12"/>
      <c r="AM179" s="536"/>
      <c r="AN179" s="536"/>
      <c r="AO179" s="547"/>
      <c r="AP179" s="536"/>
      <c r="AQ179" s="538"/>
      <c r="AR179" s="530"/>
    </row>
    <row r="180" spans="1:44" ht="56.25">
      <c r="A180" s="536">
        <v>81</v>
      </c>
      <c r="B180" s="536">
        <v>738985</v>
      </c>
      <c r="C180" s="546" t="s">
        <v>204</v>
      </c>
      <c r="D180" s="547">
        <v>0.38</v>
      </c>
      <c r="E180" s="537">
        <v>4923</v>
      </c>
      <c r="F180" s="548">
        <v>0.38</v>
      </c>
      <c r="G180" s="537">
        <v>4923</v>
      </c>
      <c r="H180" s="539"/>
      <c r="I180" s="312"/>
      <c r="J180" s="536"/>
      <c r="K180" s="42"/>
      <c r="L180" s="50"/>
      <c r="M180" s="537"/>
      <c r="N180" s="318" t="s">
        <v>2901</v>
      </c>
      <c r="O180" s="318" t="s">
        <v>2901</v>
      </c>
      <c r="P180" s="536" t="s">
        <v>120</v>
      </c>
      <c r="Q180" s="547">
        <v>1</v>
      </c>
      <c r="R180" s="536" t="s">
        <v>118</v>
      </c>
      <c r="S180" s="725">
        <v>2500</v>
      </c>
      <c r="T180" s="12"/>
      <c r="U180" s="536"/>
      <c r="V180" s="536"/>
      <c r="W180" s="547"/>
      <c r="X180" s="536"/>
      <c r="Y180" s="537"/>
      <c r="Z180" s="12"/>
      <c r="AA180" s="536"/>
      <c r="AB180" s="536"/>
      <c r="AC180" s="547"/>
      <c r="AD180" s="536"/>
      <c r="AE180" s="537"/>
      <c r="AF180" s="12"/>
      <c r="AG180" s="536"/>
      <c r="AH180" s="536"/>
      <c r="AI180" s="547"/>
      <c r="AJ180" s="536"/>
      <c r="AK180" s="538"/>
      <c r="AL180" s="12"/>
      <c r="AM180" s="536"/>
      <c r="AN180" s="536"/>
      <c r="AO180" s="547"/>
      <c r="AP180" s="536"/>
      <c r="AQ180" s="538"/>
      <c r="AR180" s="530"/>
    </row>
    <row r="181" spans="1:44" ht="56.25">
      <c r="A181" s="536">
        <v>82</v>
      </c>
      <c r="B181" s="536">
        <v>738985</v>
      </c>
      <c r="C181" s="546" t="s">
        <v>205</v>
      </c>
      <c r="D181" s="547">
        <v>0.78</v>
      </c>
      <c r="E181" s="537">
        <v>8612</v>
      </c>
      <c r="F181" s="548">
        <v>0.78</v>
      </c>
      <c r="G181" s="537">
        <v>8612</v>
      </c>
      <c r="H181" s="539"/>
      <c r="I181" s="312"/>
      <c r="J181" s="536"/>
      <c r="K181" s="42"/>
      <c r="L181" s="50"/>
      <c r="M181" s="537"/>
      <c r="N181" s="538"/>
      <c r="O181" s="536"/>
      <c r="P181" s="536"/>
      <c r="Q181" s="547"/>
      <c r="R181" s="536"/>
      <c r="S181" s="725"/>
      <c r="T181" s="12"/>
      <c r="U181" s="536"/>
      <c r="V181" s="536"/>
      <c r="W181" s="547"/>
      <c r="X181" s="536"/>
      <c r="Y181" s="537"/>
      <c r="Z181" s="12"/>
      <c r="AA181" s="536"/>
      <c r="AB181" s="536"/>
      <c r="AC181" s="547"/>
      <c r="AD181" s="536"/>
      <c r="AE181" s="537"/>
      <c r="AF181" s="12"/>
      <c r="AG181" s="536"/>
      <c r="AH181" s="536" t="s">
        <v>93</v>
      </c>
      <c r="AI181" s="547">
        <v>1</v>
      </c>
      <c r="AJ181" s="536" t="s">
        <v>118</v>
      </c>
      <c r="AK181" s="537">
        <v>50</v>
      </c>
      <c r="AL181" s="12"/>
      <c r="AM181" s="536"/>
      <c r="AN181" s="536"/>
      <c r="AO181" s="547"/>
      <c r="AP181" s="536"/>
      <c r="AQ181" s="538"/>
      <c r="AR181" s="530"/>
    </row>
    <row r="182" spans="1:44" ht="18.75">
      <c r="A182" s="1008">
        <v>83</v>
      </c>
      <c r="B182" s="1008">
        <v>740212</v>
      </c>
      <c r="C182" s="1025" t="s">
        <v>206</v>
      </c>
      <c r="D182" s="1024">
        <v>3.25</v>
      </c>
      <c r="E182" s="1017">
        <v>50997</v>
      </c>
      <c r="F182" s="1018">
        <v>3.25</v>
      </c>
      <c r="G182" s="1017">
        <v>50997</v>
      </c>
      <c r="H182" s="1019" t="s">
        <v>2725</v>
      </c>
      <c r="I182" s="971" t="s">
        <v>2713</v>
      </c>
      <c r="J182" s="1020" t="s">
        <v>114</v>
      </c>
      <c r="K182" s="558">
        <v>0.37</v>
      </c>
      <c r="L182" s="553" t="s">
        <v>17</v>
      </c>
      <c r="M182" s="1017">
        <v>6128.7571799999996</v>
      </c>
      <c r="N182" s="1019" t="s">
        <v>2902</v>
      </c>
      <c r="O182" s="1019" t="s">
        <v>2903</v>
      </c>
      <c r="P182" s="1020" t="s">
        <v>114</v>
      </c>
      <c r="Q182" s="558">
        <v>0.67</v>
      </c>
      <c r="R182" s="553" t="s">
        <v>17</v>
      </c>
      <c r="S182" s="1034">
        <v>13390.43</v>
      </c>
      <c r="T182" s="12"/>
      <c r="U182" s="536"/>
      <c r="V182" s="536"/>
      <c r="W182" s="547"/>
      <c r="X182" s="536"/>
      <c r="Y182" s="537"/>
      <c r="Z182" s="971"/>
      <c r="AA182" s="971"/>
      <c r="AB182" s="1028"/>
      <c r="AC182" s="1029"/>
      <c r="AD182" s="1028"/>
      <c r="AE182" s="1033"/>
      <c r="AF182" s="12"/>
      <c r="AG182" s="536"/>
      <c r="AH182" s="536"/>
      <c r="AI182" s="547"/>
      <c r="AJ182" s="536"/>
      <c r="AK182" s="538"/>
      <c r="AL182" s="12"/>
      <c r="AM182" s="536"/>
      <c r="AN182" s="536"/>
      <c r="AO182" s="547"/>
      <c r="AP182" s="536"/>
      <c r="AQ182" s="538"/>
      <c r="AR182" s="530"/>
    </row>
    <row r="183" spans="1:44" ht="18.75">
      <c r="A183" s="1008"/>
      <c r="B183" s="1008"/>
      <c r="C183" s="1025"/>
      <c r="D183" s="1024"/>
      <c r="E183" s="1017"/>
      <c r="F183" s="1018"/>
      <c r="G183" s="1017"/>
      <c r="H183" s="1019"/>
      <c r="I183" s="971"/>
      <c r="J183" s="1020"/>
      <c r="K183" s="51">
        <v>5000</v>
      </c>
      <c r="L183" s="43" t="s">
        <v>32</v>
      </c>
      <c r="M183" s="1017"/>
      <c r="N183" s="1019"/>
      <c r="O183" s="1019"/>
      <c r="P183" s="1020"/>
      <c r="Q183" s="51">
        <v>10518</v>
      </c>
      <c r="R183" s="43" t="s">
        <v>32</v>
      </c>
      <c r="S183" s="1035"/>
      <c r="T183" s="12"/>
      <c r="U183" s="536"/>
      <c r="V183" s="536"/>
      <c r="W183" s="547"/>
      <c r="X183" s="536"/>
      <c r="Y183" s="537"/>
      <c r="Z183" s="971"/>
      <c r="AA183" s="971"/>
      <c r="AB183" s="1028"/>
      <c r="AC183" s="1029"/>
      <c r="AD183" s="1028"/>
      <c r="AE183" s="1033"/>
      <c r="AF183" s="12"/>
      <c r="AG183" s="536"/>
      <c r="AH183" s="536"/>
      <c r="AI183" s="547"/>
      <c r="AJ183" s="536"/>
      <c r="AK183" s="538"/>
      <c r="AL183" s="12"/>
      <c r="AM183" s="536"/>
      <c r="AN183" s="536"/>
      <c r="AO183" s="547"/>
      <c r="AP183" s="536"/>
      <c r="AQ183" s="538"/>
      <c r="AR183" s="530"/>
    </row>
    <row r="184" spans="1:44" ht="56.25">
      <c r="A184" s="1008"/>
      <c r="B184" s="1008"/>
      <c r="C184" s="1025"/>
      <c r="D184" s="1024"/>
      <c r="E184" s="1017"/>
      <c r="F184" s="1018"/>
      <c r="G184" s="1017"/>
      <c r="H184" s="539"/>
      <c r="I184" s="539"/>
      <c r="J184" s="536"/>
      <c r="K184" s="57"/>
      <c r="L184" s="43"/>
      <c r="M184" s="537"/>
      <c r="N184" s="49" t="s">
        <v>2904</v>
      </c>
      <c r="O184" s="49" t="s">
        <v>2904</v>
      </c>
      <c r="P184" s="536" t="s">
        <v>120</v>
      </c>
      <c r="Q184" s="547">
        <v>1</v>
      </c>
      <c r="R184" s="536" t="s">
        <v>118</v>
      </c>
      <c r="S184" s="725">
        <v>2500</v>
      </c>
      <c r="T184" s="1019"/>
      <c r="U184" s="1019"/>
      <c r="V184" s="536"/>
      <c r="W184" s="57"/>
      <c r="X184" s="43"/>
      <c r="Y184" s="537"/>
      <c r="Z184" s="312"/>
      <c r="AA184" s="312"/>
      <c r="AB184" s="555"/>
      <c r="AC184" s="556"/>
      <c r="AD184" s="555"/>
      <c r="AE184" s="557"/>
      <c r="AF184" s="12"/>
      <c r="AG184" s="536"/>
      <c r="AH184" s="536"/>
      <c r="AI184" s="547"/>
      <c r="AJ184" s="536"/>
      <c r="AK184" s="538"/>
      <c r="AL184" s="12"/>
      <c r="AM184" s="536"/>
      <c r="AN184" s="536"/>
      <c r="AO184" s="547"/>
      <c r="AP184" s="536"/>
      <c r="AQ184" s="538"/>
      <c r="AR184" s="530"/>
    </row>
    <row r="185" spans="1:44" ht="56.25">
      <c r="A185" s="1008"/>
      <c r="B185" s="1008"/>
      <c r="C185" s="1025"/>
      <c r="D185" s="547"/>
      <c r="E185" s="537"/>
      <c r="F185" s="548"/>
      <c r="G185" s="537"/>
      <c r="H185" s="539"/>
      <c r="I185" s="539"/>
      <c r="J185" s="536"/>
      <c r="K185" s="57"/>
      <c r="L185" s="43"/>
      <c r="M185" s="537"/>
      <c r="N185" s="49" t="s">
        <v>2819</v>
      </c>
      <c r="O185" s="49" t="s">
        <v>2819</v>
      </c>
      <c r="P185" s="536" t="s">
        <v>120</v>
      </c>
      <c r="Q185" s="547">
        <v>1</v>
      </c>
      <c r="R185" s="536" t="s">
        <v>118</v>
      </c>
      <c r="S185" s="725">
        <v>50</v>
      </c>
      <c r="T185" s="539"/>
      <c r="U185" s="539"/>
      <c r="V185" s="536"/>
      <c r="W185" s="57"/>
      <c r="X185" s="43"/>
      <c r="Y185" s="537"/>
      <c r="Z185" s="312"/>
      <c r="AA185" s="312"/>
      <c r="AB185" s="555"/>
      <c r="AC185" s="556"/>
      <c r="AD185" s="555"/>
      <c r="AE185" s="557"/>
      <c r="AF185" s="12"/>
      <c r="AG185" s="536"/>
      <c r="AH185" s="536"/>
      <c r="AI185" s="547"/>
      <c r="AJ185" s="536"/>
      <c r="AK185" s="538"/>
      <c r="AL185" s="12"/>
      <c r="AM185" s="536"/>
      <c r="AN185" s="536"/>
      <c r="AO185" s="547"/>
      <c r="AP185" s="536"/>
      <c r="AQ185" s="538"/>
      <c r="AR185" s="530"/>
    </row>
    <row r="186" spans="1:44" ht="56.25">
      <c r="A186" s="1008"/>
      <c r="B186" s="1008"/>
      <c r="C186" s="1025"/>
      <c r="D186" s="547"/>
      <c r="E186" s="537"/>
      <c r="F186" s="548"/>
      <c r="G186" s="537"/>
      <c r="H186" s="539"/>
      <c r="I186" s="539"/>
      <c r="J186" s="536"/>
      <c r="K186" s="57"/>
      <c r="L186" s="43"/>
      <c r="M186" s="537"/>
      <c r="N186" s="49" t="s">
        <v>2820</v>
      </c>
      <c r="O186" s="49" t="s">
        <v>2820</v>
      </c>
      <c r="P186" s="536" t="s">
        <v>120</v>
      </c>
      <c r="Q186" s="547">
        <v>1</v>
      </c>
      <c r="R186" s="536" t="s">
        <v>118</v>
      </c>
      <c r="S186" s="725">
        <v>100</v>
      </c>
      <c r="T186" s="539"/>
      <c r="U186" s="539"/>
      <c r="V186" s="536"/>
      <c r="W186" s="57"/>
      <c r="X186" s="43"/>
      <c r="Y186" s="537"/>
      <c r="Z186" s="312"/>
      <c r="AA186" s="312"/>
      <c r="AB186" s="555"/>
      <c r="AC186" s="556"/>
      <c r="AD186" s="555"/>
      <c r="AE186" s="557"/>
      <c r="AF186" s="12"/>
      <c r="AG186" s="536"/>
      <c r="AH186" s="536"/>
      <c r="AI186" s="547"/>
      <c r="AJ186" s="536"/>
      <c r="AK186" s="538"/>
      <c r="AL186" s="12"/>
      <c r="AM186" s="536"/>
      <c r="AN186" s="536"/>
      <c r="AO186" s="547"/>
      <c r="AP186" s="536"/>
      <c r="AQ186" s="538"/>
      <c r="AR186" s="530"/>
    </row>
    <row r="187" spans="1:44" ht="56.25">
      <c r="A187" s="1008"/>
      <c r="B187" s="1008"/>
      <c r="C187" s="1025"/>
      <c r="D187" s="547"/>
      <c r="E187" s="537"/>
      <c r="F187" s="548"/>
      <c r="G187" s="537"/>
      <c r="H187" s="539"/>
      <c r="I187" s="539"/>
      <c r="J187" s="536"/>
      <c r="K187" s="57"/>
      <c r="L187" s="43"/>
      <c r="M187" s="537"/>
      <c r="N187" s="49" t="s">
        <v>2853</v>
      </c>
      <c r="O187" s="49" t="s">
        <v>2854</v>
      </c>
      <c r="P187" s="536" t="s">
        <v>120</v>
      </c>
      <c r="Q187" s="547">
        <v>1</v>
      </c>
      <c r="R187" s="536" t="s">
        <v>118</v>
      </c>
      <c r="S187" s="725">
        <v>500</v>
      </c>
      <c r="T187" s="539"/>
      <c r="U187" s="539"/>
      <c r="V187" s="536"/>
      <c r="W187" s="57"/>
      <c r="X187" s="43"/>
      <c r="Y187" s="537"/>
      <c r="Z187" s="312"/>
      <c r="AA187" s="312"/>
      <c r="AB187" s="555"/>
      <c r="AC187" s="556"/>
      <c r="AD187" s="555"/>
      <c r="AE187" s="557"/>
      <c r="AF187" s="12"/>
      <c r="AG187" s="536"/>
      <c r="AH187" s="536"/>
      <c r="AI187" s="547"/>
      <c r="AJ187" s="536"/>
      <c r="AK187" s="538"/>
      <c r="AL187" s="12"/>
      <c r="AM187" s="536"/>
      <c r="AN187" s="536"/>
      <c r="AO187" s="547"/>
      <c r="AP187" s="536"/>
      <c r="AQ187" s="538"/>
      <c r="AR187" s="530"/>
    </row>
    <row r="188" spans="1:44" ht="56.25">
      <c r="A188" s="1008">
        <v>84</v>
      </c>
      <c r="B188" s="1008">
        <v>736845</v>
      </c>
      <c r="C188" s="1025" t="s">
        <v>207</v>
      </c>
      <c r="D188" s="1024">
        <v>0.08</v>
      </c>
      <c r="E188" s="1017">
        <v>721</v>
      </c>
      <c r="F188" s="1018">
        <v>0.08</v>
      </c>
      <c r="G188" s="1017">
        <v>721</v>
      </c>
      <c r="H188" s="536"/>
      <c r="I188" s="536"/>
      <c r="J188" s="1008"/>
      <c r="K188" s="42"/>
      <c r="L188" s="553"/>
      <c r="M188" s="1017"/>
      <c r="N188" s="538"/>
      <c r="O188" s="536"/>
      <c r="P188" s="536"/>
      <c r="Q188" s="547"/>
      <c r="R188" s="536"/>
      <c r="S188" s="725"/>
      <c r="T188" s="12"/>
      <c r="U188" s="536"/>
      <c r="V188" s="536"/>
      <c r="W188" s="547"/>
      <c r="X188" s="536"/>
      <c r="Y188" s="537"/>
      <c r="Z188" s="12"/>
      <c r="AA188" s="536"/>
      <c r="AB188" s="536"/>
      <c r="AC188" s="547"/>
      <c r="AD188" s="536"/>
      <c r="AE188" s="537"/>
      <c r="AF188" s="12"/>
      <c r="AG188" s="536"/>
      <c r="AH188" s="536"/>
      <c r="AI188" s="547"/>
      <c r="AJ188" s="536"/>
      <c r="AK188" s="538"/>
      <c r="AL188" s="12"/>
      <c r="AM188" s="536"/>
      <c r="AN188" s="536" t="s">
        <v>93</v>
      </c>
      <c r="AO188" s="547">
        <v>1</v>
      </c>
      <c r="AP188" s="536" t="s">
        <v>118</v>
      </c>
      <c r="AQ188" s="537">
        <v>50</v>
      </c>
      <c r="AR188" s="530"/>
    </row>
    <row r="189" spans="1:44" ht="18.75">
      <c r="A189" s="1008"/>
      <c r="B189" s="1008"/>
      <c r="C189" s="1025"/>
      <c r="D189" s="1024"/>
      <c r="E189" s="1017"/>
      <c r="F189" s="1018"/>
      <c r="G189" s="1017"/>
      <c r="H189" s="536"/>
      <c r="I189" s="536"/>
      <c r="J189" s="1008"/>
      <c r="K189" s="51"/>
      <c r="L189" s="43"/>
      <c r="M189" s="1017"/>
      <c r="N189" s="538"/>
      <c r="O189" s="536"/>
      <c r="P189" s="536"/>
      <c r="Q189" s="547"/>
      <c r="R189" s="536"/>
      <c r="S189" s="725"/>
      <c r="T189" s="12"/>
      <c r="U189" s="536"/>
      <c r="V189" s="536"/>
      <c r="W189" s="547"/>
      <c r="X189" s="536"/>
      <c r="Y189" s="537"/>
      <c r="Z189" s="12"/>
      <c r="AA189" s="536"/>
      <c r="AB189" s="536"/>
      <c r="AC189" s="547"/>
      <c r="AD189" s="536"/>
      <c r="AE189" s="537"/>
      <c r="AF189" s="12"/>
      <c r="AG189" s="536"/>
      <c r="AH189" s="536"/>
      <c r="AI189" s="547"/>
      <c r="AJ189" s="536"/>
      <c r="AK189" s="538"/>
      <c r="AL189" s="12"/>
      <c r="AM189" s="536"/>
      <c r="AN189" s="536"/>
      <c r="AO189" s="547"/>
      <c r="AP189" s="536"/>
      <c r="AQ189" s="538"/>
      <c r="AR189" s="530"/>
    </row>
    <row r="190" spans="1:44" ht="56.25">
      <c r="A190" s="1008">
        <v>85</v>
      </c>
      <c r="B190" s="1008">
        <v>739028</v>
      </c>
      <c r="C190" s="1025" t="s">
        <v>208</v>
      </c>
      <c r="D190" s="1024">
        <v>0.69</v>
      </c>
      <c r="E190" s="1017">
        <v>5591</v>
      </c>
      <c r="F190" s="1018">
        <v>0.69</v>
      </c>
      <c r="G190" s="1017">
        <v>5591</v>
      </c>
      <c r="H190" s="539"/>
      <c r="I190" s="312"/>
      <c r="J190" s="536"/>
      <c r="K190" s="42"/>
      <c r="L190" s="50"/>
      <c r="M190" s="537"/>
      <c r="N190" s="49" t="s">
        <v>2821</v>
      </c>
      <c r="O190" s="49" t="s">
        <v>2821</v>
      </c>
      <c r="P190" s="536" t="s">
        <v>120</v>
      </c>
      <c r="Q190" s="547">
        <v>1</v>
      </c>
      <c r="R190" s="536" t="s">
        <v>118</v>
      </c>
      <c r="S190" s="725">
        <v>50</v>
      </c>
      <c r="T190" s="957"/>
      <c r="U190" s="1008"/>
      <c r="V190" s="1008"/>
      <c r="W190" s="547"/>
      <c r="X190" s="553"/>
      <c r="Y190" s="1017"/>
      <c r="Z190" s="12"/>
      <c r="AA190" s="536"/>
      <c r="AB190" s="536"/>
      <c r="AC190" s="547"/>
      <c r="AD190" s="536"/>
      <c r="AE190" s="537"/>
      <c r="AF190" s="12"/>
      <c r="AG190" s="536"/>
      <c r="AH190" s="536"/>
      <c r="AI190" s="547"/>
      <c r="AJ190" s="536"/>
      <c r="AK190" s="538"/>
      <c r="AL190" s="12"/>
      <c r="AM190" s="536"/>
      <c r="AN190" s="536"/>
      <c r="AO190" s="547"/>
      <c r="AP190" s="536"/>
      <c r="AQ190" s="538"/>
      <c r="AR190" s="530"/>
    </row>
    <row r="191" spans="1:44" ht="18.75">
      <c r="A191" s="1008"/>
      <c r="B191" s="1008"/>
      <c r="C191" s="1025"/>
      <c r="D191" s="1024"/>
      <c r="E191" s="1017"/>
      <c r="F191" s="1018"/>
      <c r="G191" s="1017"/>
      <c r="H191" s="539"/>
      <c r="I191" s="312"/>
      <c r="J191" s="536"/>
      <c r="K191" s="42"/>
      <c r="L191" s="50"/>
      <c r="M191" s="537"/>
      <c r="N191" s="538"/>
      <c r="O191" s="536"/>
      <c r="P191" s="536"/>
      <c r="Q191" s="547"/>
      <c r="R191" s="536"/>
      <c r="S191" s="725"/>
      <c r="T191" s="957"/>
      <c r="U191" s="1008"/>
      <c r="V191" s="1008"/>
      <c r="W191" s="536"/>
      <c r="X191" s="43"/>
      <c r="Y191" s="1017"/>
      <c r="Z191" s="12"/>
      <c r="AA191" s="536"/>
      <c r="AB191" s="536"/>
      <c r="AC191" s="547"/>
      <c r="AD191" s="536"/>
      <c r="AE191" s="537"/>
      <c r="AF191" s="12"/>
      <c r="AG191" s="536"/>
      <c r="AH191" s="536"/>
      <c r="AI191" s="547"/>
      <c r="AJ191" s="536"/>
      <c r="AK191" s="538"/>
      <c r="AL191" s="12"/>
      <c r="AM191" s="536"/>
      <c r="AN191" s="536"/>
      <c r="AO191" s="547"/>
      <c r="AP191" s="536"/>
      <c r="AQ191" s="538"/>
      <c r="AR191" s="530"/>
    </row>
    <row r="192" spans="1:44" ht="56.25">
      <c r="A192" s="1008">
        <v>86</v>
      </c>
      <c r="B192" s="1008">
        <v>740829</v>
      </c>
      <c r="C192" s="1025" t="s">
        <v>209</v>
      </c>
      <c r="D192" s="1024">
        <v>0.84</v>
      </c>
      <c r="E192" s="1017">
        <v>10913</v>
      </c>
      <c r="F192" s="1018">
        <v>0.84</v>
      </c>
      <c r="G192" s="1017">
        <v>10913</v>
      </c>
      <c r="H192" s="539"/>
      <c r="I192" s="539"/>
      <c r="J192" s="536"/>
      <c r="K192" s="47"/>
      <c r="L192" s="52"/>
      <c r="M192" s="1033"/>
      <c r="N192" s="49"/>
      <c r="O192" s="49"/>
      <c r="P192" s="536"/>
      <c r="Q192" s="47"/>
      <c r="R192" s="52"/>
      <c r="S192" s="725"/>
      <c r="T192" s="957"/>
      <c r="U192" s="1008"/>
      <c r="V192" s="1008"/>
      <c r="W192" s="547"/>
      <c r="X192" s="553"/>
      <c r="Y192" s="1017"/>
      <c r="Z192" s="12"/>
      <c r="AA192" s="536"/>
      <c r="AB192" s="536"/>
      <c r="AC192" s="547"/>
      <c r="AD192" s="536"/>
      <c r="AE192" s="537"/>
      <c r="AF192" s="12"/>
      <c r="AG192" s="536"/>
      <c r="AH192" s="536" t="s">
        <v>93</v>
      </c>
      <c r="AI192" s="547">
        <v>1</v>
      </c>
      <c r="AJ192" s="536" t="s">
        <v>118</v>
      </c>
      <c r="AK192" s="537">
        <v>50</v>
      </c>
      <c r="AL192" s="12"/>
      <c r="AM192" s="536"/>
      <c r="AN192" s="536"/>
      <c r="AO192" s="547"/>
      <c r="AP192" s="536"/>
      <c r="AQ192" s="538"/>
      <c r="AR192" s="530"/>
    </row>
    <row r="193" spans="1:44" ht="18.75">
      <c r="A193" s="1008"/>
      <c r="B193" s="1008"/>
      <c r="C193" s="1025"/>
      <c r="D193" s="1024"/>
      <c r="E193" s="1017"/>
      <c r="F193" s="1018"/>
      <c r="G193" s="1017"/>
      <c r="H193" s="555"/>
      <c r="I193" s="312"/>
      <c r="J193" s="561"/>
      <c r="K193" s="59"/>
      <c r="L193" s="553"/>
      <c r="M193" s="1033"/>
      <c r="N193" s="538"/>
      <c r="O193" s="536"/>
      <c r="P193" s="536"/>
      <c r="Q193" s="547"/>
      <c r="R193" s="536"/>
      <c r="S193" s="725"/>
      <c r="T193" s="957"/>
      <c r="U193" s="1008"/>
      <c r="V193" s="1008"/>
      <c r="W193" s="536"/>
      <c r="X193" s="43"/>
      <c r="Y193" s="1017"/>
      <c r="Z193" s="12"/>
      <c r="AA193" s="536"/>
      <c r="AB193" s="536"/>
      <c r="AC193" s="547"/>
      <c r="AD193" s="536"/>
      <c r="AE193" s="537"/>
      <c r="AF193" s="12"/>
      <c r="AG193" s="536"/>
      <c r="AH193" s="536"/>
      <c r="AI193" s="547"/>
      <c r="AJ193" s="536"/>
      <c r="AK193" s="538"/>
      <c r="AL193" s="12"/>
      <c r="AM193" s="536"/>
      <c r="AN193" s="536"/>
      <c r="AO193" s="547"/>
      <c r="AP193" s="536"/>
      <c r="AQ193" s="538"/>
      <c r="AR193" s="530"/>
    </row>
    <row r="194" spans="1:44" ht="56.25">
      <c r="A194" s="1008">
        <v>87</v>
      </c>
      <c r="B194" s="1008">
        <v>737302</v>
      </c>
      <c r="C194" s="1025" t="s">
        <v>210</v>
      </c>
      <c r="D194" s="1024">
        <v>5.7</v>
      </c>
      <c r="E194" s="1017">
        <v>82705</v>
      </c>
      <c r="F194" s="1018">
        <v>5.7</v>
      </c>
      <c r="G194" s="1017">
        <v>82705</v>
      </c>
      <c r="H194" s="539"/>
      <c r="I194" s="539"/>
      <c r="J194" s="536"/>
      <c r="K194" s="47"/>
      <c r="L194" s="52"/>
      <c r="M194" s="537"/>
      <c r="N194" s="49" t="s">
        <v>2822</v>
      </c>
      <c r="O194" s="49" t="s">
        <v>2823</v>
      </c>
      <c r="P194" s="536" t="s">
        <v>120</v>
      </c>
      <c r="Q194" s="547">
        <v>1</v>
      </c>
      <c r="R194" s="536" t="s">
        <v>118</v>
      </c>
      <c r="S194" s="725">
        <v>50</v>
      </c>
      <c r="T194" s="1019"/>
      <c r="U194" s="1019"/>
      <c r="V194" s="536"/>
      <c r="W194" s="47"/>
      <c r="X194" s="52"/>
      <c r="Y194" s="537"/>
      <c r="Z194" s="1019"/>
      <c r="AA194" s="1019"/>
      <c r="AB194" s="536"/>
      <c r="AC194" s="47"/>
      <c r="AD194" s="52"/>
      <c r="AE194" s="537"/>
      <c r="AF194" s="1019"/>
      <c r="AG194" s="1019"/>
      <c r="AH194" s="536"/>
      <c r="AI194" s="47"/>
      <c r="AJ194" s="52"/>
      <c r="AK194" s="538"/>
      <c r="AL194" s="12"/>
      <c r="AM194" s="536"/>
      <c r="AN194" s="536"/>
      <c r="AO194" s="547"/>
      <c r="AP194" s="536"/>
      <c r="AQ194" s="538"/>
      <c r="AR194" s="530"/>
    </row>
    <row r="195" spans="1:44" ht="19.5">
      <c r="A195" s="1008"/>
      <c r="B195" s="1008"/>
      <c r="C195" s="1025"/>
      <c r="D195" s="1024"/>
      <c r="E195" s="1017"/>
      <c r="F195" s="1018"/>
      <c r="G195" s="1017"/>
      <c r="H195" s="539"/>
      <c r="I195" s="539"/>
      <c r="J195" s="536"/>
      <c r="K195" s="47"/>
      <c r="L195" s="52"/>
      <c r="M195" s="537"/>
      <c r="N195" s="49"/>
      <c r="O195" s="49"/>
      <c r="P195" s="536"/>
      <c r="Q195" s="47"/>
      <c r="R195" s="52"/>
      <c r="S195" s="725"/>
      <c r="T195" s="1032" t="s">
        <v>60</v>
      </c>
      <c r="U195" s="1008" t="s">
        <v>2932</v>
      </c>
      <c r="V195" s="1020" t="s">
        <v>114</v>
      </c>
      <c r="W195" s="507">
        <v>5.7</v>
      </c>
      <c r="X195" s="518" t="s">
        <v>17</v>
      </c>
      <c r="Y195" s="650">
        <v>36478.800000000003</v>
      </c>
      <c r="Z195" s="1019"/>
      <c r="AA195" s="1019"/>
      <c r="AB195" s="536"/>
      <c r="AC195" s="47"/>
      <c r="AD195" s="52"/>
      <c r="AE195" s="537"/>
      <c r="AF195" s="1019"/>
      <c r="AG195" s="1019"/>
      <c r="AH195" s="536"/>
      <c r="AI195" s="47"/>
      <c r="AJ195" s="52"/>
      <c r="AK195" s="538"/>
      <c r="AL195" s="12"/>
      <c r="AM195" s="536"/>
      <c r="AN195" s="536"/>
      <c r="AO195" s="547"/>
      <c r="AP195" s="536"/>
      <c r="AQ195" s="538"/>
      <c r="AR195" s="530"/>
    </row>
    <row r="196" spans="1:44" ht="19.5">
      <c r="A196" s="1008"/>
      <c r="B196" s="1008"/>
      <c r="C196" s="1025"/>
      <c r="D196" s="1024"/>
      <c r="E196" s="1017"/>
      <c r="F196" s="1018"/>
      <c r="G196" s="1017"/>
      <c r="H196" s="539"/>
      <c r="I196" s="313"/>
      <c r="J196" s="536"/>
      <c r="K196" s="42"/>
      <c r="L196" s="50"/>
      <c r="M196" s="537"/>
      <c r="N196" s="538"/>
      <c r="O196" s="536"/>
      <c r="P196" s="536"/>
      <c r="Q196" s="547"/>
      <c r="R196" s="536"/>
      <c r="S196" s="725"/>
      <c r="T196" s="1032"/>
      <c r="U196" s="1008"/>
      <c r="V196" s="1020"/>
      <c r="W196" s="507">
        <v>82705</v>
      </c>
      <c r="X196" s="507" t="s">
        <v>32</v>
      </c>
      <c r="Y196" s="650">
        <v>31339.200000000001</v>
      </c>
      <c r="Z196" s="12"/>
      <c r="AA196" s="536"/>
      <c r="AB196" s="536"/>
      <c r="AC196" s="547"/>
      <c r="AD196" s="536"/>
      <c r="AE196" s="537"/>
      <c r="AF196" s="12"/>
      <c r="AG196" s="536"/>
      <c r="AH196" s="536"/>
      <c r="AI196" s="547"/>
      <c r="AJ196" s="536"/>
      <c r="AK196" s="538"/>
      <c r="AL196" s="12"/>
      <c r="AM196" s="536"/>
      <c r="AN196" s="536"/>
      <c r="AO196" s="547"/>
      <c r="AP196" s="536"/>
      <c r="AQ196" s="538"/>
      <c r="AR196" s="530"/>
    </row>
    <row r="197" spans="1:44" ht="18.75">
      <c r="A197" s="1008">
        <v>88</v>
      </c>
      <c r="B197" s="1008">
        <v>739026</v>
      </c>
      <c r="C197" s="1025" t="s">
        <v>211</v>
      </c>
      <c r="D197" s="1024">
        <v>2.39</v>
      </c>
      <c r="E197" s="1017">
        <v>22686</v>
      </c>
      <c r="F197" s="1018">
        <v>2.39</v>
      </c>
      <c r="G197" s="1017">
        <v>22686</v>
      </c>
      <c r="H197" s="539"/>
      <c r="I197" s="539"/>
      <c r="J197" s="536"/>
      <c r="K197" s="47"/>
      <c r="L197" s="52"/>
      <c r="M197" s="537"/>
      <c r="N197" s="538"/>
      <c r="O197" s="536"/>
      <c r="P197" s="536"/>
      <c r="Q197" s="547"/>
      <c r="R197" s="536"/>
      <c r="S197" s="725"/>
      <c r="T197" s="49"/>
      <c r="U197" s="49"/>
      <c r="V197" s="536"/>
      <c r="W197" s="47"/>
      <c r="X197" s="52"/>
      <c r="Y197" s="537"/>
      <c r="Z197" s="12"/>
      <c r="AA197" s="536"/>
      <c r="AB197" s="536"/>
      <c r="AC197" s="547"/>
      <c r="AD197" s="536"/>
      <c r="AE197" s="537"/>
      <c r="AF197" s="12"/>
      <c r="AG197" s="536"/>
      <c r="AH197" s="536"/>
      <c r="AI197" s="547"/>
      <c r="AJ197" s="536"/>
      <c r="AK197" s="538"/>
      <c r="AL197" s="1031"/>
      <c r="AM197" s="1023"/>
      <c r="AN197" s="1042"/>
      <c r="AO197" s="547"/>
      <c r="AP197" s="553"/>
      <c r="AQ197" s="1027"/>
      <c r="AR197" s="530"/>
    </row>
    <row r="198" spans="1:44" ht="18.75">
      <c r="A198" s="1008"/>
      <c r="B198" s="1008"/>
      <c r="C198" s="1025"/>
      <c r="D198" s="1024"/>
      <c r="E198" s="1017"/>
      <c r="F198" s="1018"/>
      <c r="G198" s="1017"/>
      <c r="H198" s="539"/>
      <c r="I198" s="313"/>
      <c r="J198" s="536"/>
      <c r="K198" s="42"/>
      <c r="L198" s="50"/>
      <c r="M198" s="537"/>
      <c r="N198" s="538"/>
      <c r="O198" s="536"/>
      <c r="P198" s="536"/>
      <c r="Q198" s="547"/>
      <c r="R198" s="536"/>
      <c r="S198" s="725"/>
      <c r="T198" s="12"/>
      <c r="U198" s="536"/>
      <c r="V198" s="536"/>
      <c r="W198" s="547"/>
      <c r="X198" s="536"/>
      <c r="Y198" s="537"/>
      <c r="Z198" s="12"/>
      <c r="AA198" s="536"/>
      <c r="AB198" s="536"/>
      <c r="AC198" s="547"/>
      <c r="AD198" s="536"/>
      <c r="AE198" s="537"/>
      <c r="AF198" s="12"/>
      <c r="AG198" s="536"/>
      <c r="AH198" s="536"/>
      <c r="AI198" s="547"/>
      <c r="AJ198" s="536"/>
      <c r="AK198" s="538"/>
      <c r="AL198" s="1026"/>
      <c r="AM198" s="1026"/>
      <c r="AN198" s="1026"/>
      <c r="AO198" s="536"/>
      <c r="AP198" s="43"/>
      <c r="AQ198" s="1027"/>
      <c r="AR198" s="530"/>
    </row>
    <row r="199" spans="1:44" ht="56.25">
      <c r="A199" s="536">
        <v>89</v>
      </c>
      <c r="B199" s="536">
        <v>738983</v>
      </c>
      <c r="C199" s="546" t="s">
        <v>212</v>
      </c>
      <c r="D199" s="547">
        <v>0.28000000000000003</v>
      </c>
      <c r="E199" s="537">
        <v>3136</v>
      </c>
      <c r="F199" s="548">
        <v>0.28000000000000003</v>
      </c>
      <c r="G199" s="537">
        <v>3136</v>
      </c>
      <c r="H199" s="539"/>
      <c r="I199" s="313"/>
      <c r="J199" s="536"/>
      <c r="K199" s="42"/>
      <c r="L199" s="50"/>
      <c r="M199" s="537"/>
      <c r="N199" s="538"/>
      <c r="O199" s="536"/>
      <c r="P199" s="536"/>
      <c r="Q199" s="547"/>
      <c r="R199" s="536"/>
      <c r="S199" s="725"/>
      <c r="T199" s="12"/>
      <c r="U199" s="536"/>
      <c r="V199" s="536"/>
      <c r="W199" s="547"/>
      <c r="X199" s="536"/>
      <c r="Y199" s="537"/>
      <c r="Z199" s="12"/>
      <c r="AA199" s="536"/>
      <c r="AB199" s="536"/>
      <c r="AC199" s="547"/>
      <c r="AD199" s="536"/>
      <c r="AE199" s="537"/>
      <c r="AF199" s="12"/>
      <c r="AG199" s="536"/>
      <c r="AH199" s="536" t="s">
        <v>93</v>
      </c>
      <c r="AI199" s="547">
        <v>1</v>
      </c>
      <c r="AJ199" s="536" t="s">
        <v>118</v>
      </c>
      <c r="AK199" s="537">
        <v>50</v>
      </c>
      <c r="AL199" s="12"/>
      <c r="AM199" s="536"/>
      <c r="AN199" s="536"/>
      <c r="AO199" s="547"/>
      <c r="AP199" s="536"/>
      <c r="AQ199" s="538"/>
      <c r="AR199" s="530"/>
    </row>
    <row r="200" spans="1:44" ht="56.25">
      <c r="A200" s="536">
        <v>90</v>
      </c>
      <c r="B200" s="536">
        <v>742694</v>
      </c>
      <c r="C200" s="546" t="s">
        <v>213</v>
      </c>
      <c r="D200" s="547">
        <v>0.52</v>
      </c>
      <c r="E200" s="537">
        <v>5492</v>
      </c>
      <c r="F200" s="548">
        <v>0.52</v>
      </c>
      <c r="G200" s="537">
        <v>5492</v>
      </c>
      <c r="H200" s="539"/>
      <c r="I200" s="313"/>
      <c r="J200" s="536"/>
      <c r="K200" s="42"/>
      <c r="L200" s="50"/>
      <c r="M200" s="537"/>
      <c r="N200" s="49" t="s">
        <v>2824</v>
      </c>
      <c r="O200" s="49" t="s">
        <v>2824</v>
      </c>
      <c r="P200" s="536" t="s">
        <v>120</v>
      </c>
      <c r="Q200" s="547">
        <v>1</v>
      </c>
      <c r="R200" s="536" t="s">
        <v>118</v>
      </c>
      <c r="S200" s="725">
        <v>300</v>
      </c>
      <c r="T200" s="12"/>
      <c r="U200" s="536"/>
      <c r="V200" s="536"/>
      <c r="W200" s="547"/>
      <c r="X200" s="536"/>
      <c r="Y200" s="537"/>
      <c r="Z200" s="12"/>
      <c r="AA200" s="536"/>
      <c r="AB200" s="536"/>
      <c r="AC200" s="547"/>
      <c r="AD200" s="536"/>
      <c r="AE200" s="537"/>
      <c r="AF200" s="12"/>
      <c r="AG200" s="536"/>
      <c r="AH200" s="536"/>
      <c r="AI200" s="547"/>
      <c r="AJ200" s="536"/>
      <c r="AK200" s="538"/>
      <c r="AL200" s="12"/>
      <c r="AM200" s="536"/>
      <c r="AN200" s="536"/>
      <c r="AO200" s="547"/>
      <c r="AP200" s="536"/>
      <c r="AQ200" s="538"/>
      <c r="AR200" s="530"/>
    </row>
    <row r="201" spans="1:44" ht="56.25">
      <c r="A201" s="536">
        <v>91</v>
      </c>
      <c r="B201" s="536">
        <v>742694</v>
      </c>
      <c r="C201" s="546" t="s">
        <v>214</v>
      </c>
      <c r="D201" s="547">
        <v>0.28000000000000003</v>
      </c>
      <c r="E201" s="537">
        <v>2919</v>
      </c>
      <c r="F201" s="548">
        <v>0.28000000000000003</v>
      </c>
      <c r="G201" s="537">
        <v>2919</v>
      </c>
      <c r="H201" s="539"/>
      <c r="I201" s="313"/>
      <c r="J201" s="536"/>
      <c r="K201" s="42"/>
      <c r="L201" s="50"/>
      <c r="M201" s="537"/>
      <c r="N201" s="538"/>
      <c r="O201" s="536"/>
      <c r="P201" s="536"/>
      <c r="Q201" s="547"/>
      <c r="R201" s="536"/>
      <c r="S201" s="725"/>
      <c r="T201" s="12"/>
      <c r="U201" s="536"/>
      <c r="V201" s="536"/>
      <c r="W201" s="547"/>
      <c r="X201" s="536"/>
      <c r="Y201" s="537"/>
      <c r="Z201" s="12"/>
      <c r="AA201" s="536"/>
      <c r="AB201" s="536"/>
      <c r="AC201" s="547"/>
      <c r="AD201" s="536"/>
      <c r="AE201" s="537"/>
      <c r="AF201" s="12"/>
      <c r="AG201" s="536"/>
      <c r="AH201" s="536"/>
      <c r="AI201" s="547"/>
      <c r="AJ201" s="536"/>
      <c r="AK201" s="538"/>
      <c r="AL201" s="12"/>
      <c r="AM201" s="536"/>
      <c r="AN201" s="536" t="s">
        <v>93</v>
      </c>
      <c r="AO201" s="547">
        <v>1</v>
      </c>
      <c r="AP201" s="536" t="s">
        <v>118</v>
      </c>
      <c r="AQ201" s="537">
        <v>50</v>
      </c>
      <c r="AR201" s="530"/>
    </row>
    <row r="202" spans="1:44" ht="56.25">
      <c r="A202" s="536">
        <v>92</v>
      </c>
      <c r="B202" s="536">
        <v>742340</v>
      </c>
      <c r="C202" s="546" t="s">
        <v>215</v>
      </c>
      <c r="D202" s="547">
        <v>1.98</v>
      </c>
      <c r="E202" s="537">
        <v>38708</v>
      </c>
      <c r="F202" s="548">
        <v>1.98</v>
      </c>
      <c r="G202" s="537">
        <v>38708</v>
      </c>
      <c r="H202" s="539"/>
      <c r="I202" s="539"/>
      <c r="J202" s="536"/>
      <c r="K202" s="47"/>
      <c r="L202" s="52"/>
      <c r="M202" s="537"/>
      <c r="N202" s="319" t="s">
        <v>2769</v>
      </c>
      <c r="O202" s="319" t="s">
        <v>2769</v>
      </c>
      <c r="P202" s="536" t="s">
        <v>120</v>
      </c>
      <c r="Q202" s="547">
        <v>1</v>
      </c>
      <c r="R202" s="536" t="s">
        <v>118</v>
      </c>
      <c r="S202" s="725">
        <v>570</v>
      </c>
      <c r="T202" s="1019"/>
      <c r="U202" s="1019"/>
      <c r="V202" s="536"/>
      <c r="W202" s="47"/>
      <c r="X202" s="52"/>
      <c r="Y202" s="537"/>
      <c r="Z202" s="1019"/>
      <c r="AA202" s="1019"/>
      <c r="AB202" s="536"/>
      <c r="AC202" s="47"/>
      <c r="AD202" s="52"/>
      <c r="AE202" s="537"/>
      <c r="AF202" s="12"/>
      <c r="AG202" s="536"/>
      <c r="AH202" s="536"/>
      <c r="AI202" s="547"/>
      <c r="AJ202" s="536"/>
      <c r="AK202" s="538"/>
      <c r="AL202" s="49"/>
      <c r="AM202" s="49"/>
      <c r="AN202" s="536"/>
      <c r="AO202" s="47"/>
      <c r="AP202" s="52"/>
      <c r="AQ202" s="538"/>
      <c r="AR202" s="530"/>
    </row>
    <row r="203" spans="1:44" ht="18.75">
      <c r="A203" s="536">
        <v>93</v>
      </c>
      <c r="B203" s="536">
        <v>745125</v>
      </c>
      <c r="C203" s="546" t="s">
        <v>216</v>
      </c>
      <c r="D203" s="547">
        <v>0.76</v>
      </c>
      <c r="E203" s="537">
        <v>5857</v>
      </c>
      <c r="F203" s="548">
        <v>0.76</v>
      </c>
      <c r="G203" s="537">
        <v>5857</v>
      </c>
      <c r="H203" s="539"/>
      <c r="I203" s="313"/>
      <c r="J203" s="536"/>
      <c r="K203" s="42"/>
      <c r="L203" s="50"/>
      <c r="M203" s="537"/>
      <c r="N203" s="538"/>
      <c r="O203" s="536"/>
      <c r="P203" s="536"/>
      <c r="Q203" s="547"/>
      <c r="R203" s="536"/>
      <c r="S203" s="725"/>
      <c r="T203" s="12"/>
      <c r="U203" s="536"/>
      <c r="V203" s="536"/>
      <c r="W203" s="547"/>
      <c r="X203" s="536"/>
      <c r="Y203" s="537"/>
      <c r="Z203" s="12"/>
      <c r="AA203" s="536"/>
      <c r="AB203" s="536"/>
      <c r="AC203" s="547"/>
      <c r="AD203" s="536"/>
      <c r="AE203" s="537"/>
      <c r="AF203" s="12"/>
      <c r="AG203" s="536"/>
      <c r="AH203" s="536"/>
      <c r="AI203" s="547"/>
      <c r="AJ203" s="536"/>
      <c r="AK203" s="538"/>
      <c r="AL203" s="12"/>
      <c r="AM203" s="536"/>
      <c r="AN203" s="536"/>
      <c r="AO203" s="547"/>
      <c r="AP203" s="536"/>
      <c r="AQ203" s="538"/>
      <c r="AR203" s="530"/>
    </row>
    <row r="204" spans="1:44" ht="56.25">
      <c r="A204" s="1008">
        <v>94</v>
      </c>
      <c r="B204" s="1008">
        <v>740634</v>
      </c>
      <c r="C204" s="1025" t="s">
        <v>217</v>
      </c>
      <c r="D204" s="547">
        <v>3.66</v>
      </c>
      <c r="E204" s="537">
        <v>32588</v>
      </c>
      <c r="F204" s="548">
        <v>3.66</v>
      </c>
      <c r="G204" s="537">
        <v>32588</v>
      </c>
      <c r="H204" s="539"/>
      <c r="I204" s="539"/>
      <c r="J204" s="536"/>
      <c r="K204" s="47"/>
      <c r="L204" s="52"/>
      <c r="M204" s="537"/>
      <c r="N204" s="49" t="s">
        <v>2821</v>
      </c>
      <c r="O204" s="49" t="s">
        <v>2821</v>
      </c>
      <c r="P204" s="536" t="s">
        <v>120</v>
      </c>
      <c r="Q204" s="547">
        <v>1</v>
      </c>
      <c r="R204" s="536" t="s">
        <v>118</v>
      </c>
      <c r="S204" s="725">
        <v>500</v>
      </c>
      <c r="T204" s="971" t="s">
        <v>60</v>
      </c>
      <c r="U204" s="1008" t="s">
        <v>2933</v>
      </c>
      <c r="V204" s="1020" t="s">
        <v>114</v>
      </c>
      <c r="W204" s="507">
        <v>3.7</v>
      </c>
      <c r="X204" s="518" t="s">
        <v>17</v>
      </c>
      <c r="Y204" s="900">
        <v>26722</v>
      </c>
      <c r="Z204" s="12"/>
      <c r="AA204" s="536"/>
      <c r="AB204" s="536"/>
      <c r="AC204" s="547"/>
      <c r="AD204" s="536"/>
      <c r="AE204" s="537"/>
      <c r="AF204" s="12"/>
      <c r="AG204" s="536"/>
      <c r="AH204" s="536"/>
      <c r="AI204" s="547"/>
      <c r="AJ204" s="536"/>
      <c r="AK204" s="538"/>
      <c r="AL204" s="1028"/>
      <c r="AM204" s="1028"/>
      <c r="AN204" s="1028"/>
      <c r="AO204" s="1029"/>
      <c r="AP204" s="1028"/>
      <c r="AQ204" s="1030"/>
      <c r="AR204" s="530"/>
    </row>
    <row r="205" spans="1:44" ht="19.5">
      <c r="A205" s="1008"/>
      <c r="B205" s="1008"/>
      <c r="C205" s="1025"/>
      <c r="D205" s="547"/>
      <c r="E205" s="537"/>
      <c r="F205" s="548"/>
      <c r="G205" s="537"/>
      <c r="H205" s="539"/>
      <c r="I205" s="313"/>
      <c r="J205" s="536"/>
      <c r="K205" s="42"/>
      <c r="L205" s="50"/>
      <c r="M205" s="537"/>
      <c r="N205" s="538"/>
      <c r="O205" s="536"/>
      <c r="P205" s="536"/>
      <c r="Q205" s="547"/>
      <c r="R205" s="536"/>
      <c r="S205" s="725"/>
      <c r="T205" s="971"/>
      <c r="U205" s="1008"/>
      <c r="V205" s="1020"/>
      <c r="W205" s="507">
        <v>32588</v>
      </c>
      <c r="X205" s="507" t="s">
        <v>32</v>
      </c>
      <c r="Y205" s="900"/>
      <c r="Z205" s="12"/>
      <c r="AA205" s="536"/>
      <c r="AB205" s="536"/>
      <c r="AC205" s="547"/>
      <c r="AD205" s="536"/>
      <c r="AE205" s="537"/>
      <c r="AF205" s="12"/>
      <c r="AG205" s="536"/>
      <c r="AH205" s="536"/>
      <c r="AI205" s="547"/>
      <c r="AJ205" s="536"/>
      <c r="AK205" s="538"/>
      <c r="AL205" s="1028"/>
      <c r="AM205" s="1028"/>
      <c r="AN205" s="1028"/>
      <c r="AO205" s="1029"/>
      <c r="AP205" s="1028"/>
      <c r="AQ205" s="1030"/>
      <c r="AR205" s="530"/>
    </row>
    <row r="206" spans="1:44" ht="40.5" customHeight="1">
      <c r="A206" s="1008">
        <v>95</v>
      </c>
      <c r="B206" s="1008">
        <v>738775</v>
      </c>
      <c r="C206" s="1025" t="s">
        <v>218</v>
      </c>
      <c r="D206" s="1024">
        <v>0.46</v>
      </c>
      <c r="E206" s="1017">
        <v>6723</v>
      </c>
      <c r="F206" s="1018">
        <v>0.46</v>
      </c>
      <c r="G206" s="1017">
        <v>6723</v>
      </c>
      <c r="H206" s="1028" t="s">
        <v>60</v>
      </c>
      <c r="I206" s="1028" t="s">
        <v>2726</v>
      </c>
      <c r="J206" s="1020" t="s">
        <v>114</v>
      </c>
      <c r="K206" s="60">
        <v>0.46</v>
      </c>
      <c r="L206" s="553" t="s">
        <v>17</v>
      </c>
      <c r="M206" s="1033">
        <v>8112.4639999999999</v>
      </c>
      <c r="N206" s="49" t="s">
        <v>2865</v>
      </c>
      <c r="O206" s="49" t="s">
        <v>2834</v>
      </c>
      <c r="P206" s="536" t="s">
        <v>93</v>
      </c>
      <c r="Q206" s="547">
        <v>1</v>
      </c>
      <c r="R206" s="536" t="s">
        <v>118</v>
      </c>
      <c r="S206" s="725">
        <v>20</v>
      </c>
      <c r="T206" s="12"/>
      <c r="U206" s="536"/>
      <c r="V206" s="536"/>
      <c r="W206" s="547"/>
      <c r="X206" s="536"/>
      <c r="Y206" s="537"/>
      <c r="Z206" s="12"/>
      <c r="AA206" s="536"/>
      <c r="AB206" s="536"/>
      <c r="AC206" s="547"/>
      <c r="AD206" s="536"/>
      <c r="AE206" s="537"/>
      <c r="AF206" s="12"/>
      <c r="AG206" s="536"/>
      <c r="AH206" s="536"/>
      <c r="AI206" s="547"/>
      <c r="AJ206" s="536"/>
      <c r="AK206" s="538"/>
      <c r="AL206" s="12"/>
      <c r="AM206" s="536"/>
      <c r="AN206" s="536"/>
      <c r="AO206" s="547"/>
      <c r="AP206" s="536"/>
      <c r="AQ206" s="538"/>
      <c r="AR206" s="530"/>
    </row>
    <row r="207" spans="1:44" ht="18.75">
      <c r="A207" s="1008"/>
      <c r="B207" s="1008"/>
      <c r="C207" s="1025"/>
      <c r="D207" s="1024"/>
      <c r="E207" s="1017"/>
      <c r="F207" s="1018"/>
      <c r="G207" s="1017"/>
      <c r="H207" s="1028"/>
      <c r="I207" s="1028"/>
      <c r="J207" s="1020"/>
      <c r="K207" s="59">
        <v>6723</v>
      </c>
      <c r="L207" s="553" t="s">
        <v>32</v>
      </c>
      <c r="M207" s="1033"/>
      <c r="N207" s="538"/>
      <c r="O207" s="536"/>
      <c r="P207" s="536"/>
      <c r="Q207" s="547"/>
      <c r="R207" s="536"/>
      <c r="S207" s="725"/>
      <c r="T207" s="12"/>
      <c r="U207" s="536"/>
      <c r="V207" s="536"/>
      <c r="W207" s="547"/>
      <c r="X207" s="536"/>
      <c r="Y207" s="537"/>
      <c r="Z207" s="12"/>
      <c r="AA207" s="536"/>
      <c r="AB207" s="536"/>
      <c r="AC207" s="547"/>
      <c r="AD207" s="536"/>
      <c r="AE207" s="537"/>
      <c r="AF207" s="12"/>
      <c r="AG207" s="536"/>
      <c r="AH207" s="536"/>
      <c r="AI207" s="547"/>
      <c r="AJ207" s="536"/>
      <c r="AK207" s="538"/>
      <c r="AL207" s="12"/>
      <c r="AM207" s="536"/>
      <c r="AN207" s="536"/>
      <c r="AO207" s="547"/>
      <c r="AP207" s="536"/>
      <c r="AQ207" s="538"/>
      <c r="AR207" s="530"/>
    </row>
    <row r="208" spans="1:44" ht="18.75">
      <c r="A208" s="1008">
        <v>96</v>
      </c>
      <c r="B208" s="1008">
        <v>740829</v>
      </c>
      <c r="C208" s="1025" t="s">
        <v>219</v>
      </c>
      <c r="D208" s="1024">
        <v>2.17</v>
      </c>
      <c r="E208" s="1017">
        <v>22394</v>
      </c>
      <c r="F208" s="1018">
        <v>2.17</v>
      </c>
      <c r="G208" s="1017">
        <v>22394</v>
      </c>
      <c r="H208" s="1028" t="s">
        <v>60</v>
      </c>
      <c r="I208" s="971" t="s">
        <v>2727</v>
      </c>
      <c r="J208" s="1020" t="s">
        <v>114</v>
      </c>
      <c r="K208" s="60">
        <v>0.6</v>
      </c>
      <c r="L208" s="553" t="s">
        <v>17</v>
      </c>
      <c r="M208" s="1033">
        <v>5755.1479799999997</v>
      </c>
      <c r="N208" s="538"/>
      <c r="O208" s="536"/>
      <c r="P208" s="536"/>
      <c r="Q208" s="547"/>
      <c r="R208" s="536"/>
      <c r="S208" s="725"/>
      <c r="T208" s="12"/>
      <c r="U208" s="536"/>
      <c r="V208" s="536"/>
      <c r="W208" s="547"/>
      <c r="X208" s="536"/>
      <c r="Y208" s="537"/>
      <c r="Z208" s="12"/>
      <c r="AA208" s="536"/>
      <c r="AB208" s="536"/>
      <c r="AC208" s="547"/>
      <c r="AD208" s="536"/>
      <c r="AE208" s="537"/>
      <c r="AF208" s="12"/>
      <c r="AG208" s="536"/>
      <c r="AH208" s="536"/>
      <c r="AI208" s="547"/>
      <c r="AJ208" s="536"/>
      <c r="AK208" s="538"/>
      <c r="AL208" s="12"/>
      <c r="AM208" s="536"/>
      <c r="AN208" s="536"/>
      <c r="AO208" s="547"/>
      <c r="AP208" s="536"/>
      <c r="AQ208" s="538"/>
      <c r="AR208" s="530"/>
    </row>
    <row r="209" spans="1:44" ht="18.75">
      <c r="A209" s="1008"/>
      <c r="B209" s="1008"/>
      <c r="C209" s="1025"/>
      <c r="D209" s="1024"/>
      <c r="E209" s="1017"/>
      <c r="F209" s="1018"/>
      <c r="G209" s="1017"/>
      <c r="H209" s="1028"/>
      <c r="I209" s="971"/>
      <c r="J209" s="1020"/>
      <c r="K209" s="59">
        <v>4905</v>
      </c>
      <c r="L209" s="553" t="s">
        <v>32</v>
      </c>
      <c r="M209" s="1033"/>
      <c r="N209" s="538"/>
      <c r="O209" s="536"/>
      <c r="P209" s="536"/>
      <c r="Q209" s="547"/>
      <c r="R209" s="536"/>
      <c r="S209" s="725"/>
      <c r="T209" s="12"/>
      <c r="U209" s="536"/>
      <c r="V209" s="536"/>
      <c r="W209" s="547"/>
      <c r="X209" s="536"/>
      <c r="Y209" s="537"/>
      <c r="Z209" s="12"/>
      <c r="AA209" s="536"/>
      <c r="AB209" s="536"/>
      <c r="AC209" s="547"/>
      <c r="AD209" s="536"/>
      <c r="AE209" s="537"/>
      <c r="AF209" s="12"/>
      <c r="AG209" s="536"/>
      <c r="AH209" s="536"/>
      <c r="AI209" s="547"/>
      <c r="AJ209" s="536"/>
      <c r="AK209" s="538"/>
      <c r="AL209" s="12"/>
      <c r="AM209" s="536"/>
      <c r="AN209" s="536"/>
      <c r="AO209" s="547"/>
      <c r="AP209" s="536"/>
      <c r="AQ209" s="538"/>
      <c r="AR209" s="530"/>
    </row>
    <row r="210" spans="1:44" ht="18.75">
      <c r="A210" s="1008"/>
      <c r="B210" s="1008"/>
      <c r="C210" s="1025"/>
      <c r="D210" s="1024"/>
      <c r="E210" s="1017"/>
      <c r="F210" s="1018"/>
      <c r="G210" s="1017"/>
      <c r="H210" s="539" t="s">
        <v>60</v>
      </c>
      <c r="I210" s="971" t="s">
        <v>2584</v>
      </c>
      <c r="J210" s="1020" t="s">
        <v>114</v>
      </c>
      <c r="K210" s="60">
        <v>0.96</v>
      </c>
      <c r="L210" s="553" t="s">
        <v>17</v>
      </c>
      <c r="M210" s="1033">
        <v>14804.7693</v>
      </c>
      <c r="N210" s="538"/>
      <c r="O210" s="536"/>
      <c r="P210" s="536"/>
      <c r="Q210" s="547"/>
      <c r="R210" s="536"/>
      <c r="S210" s="725"/>
      <c r="T210" s="12"/>
      <c r="U210" s="536"/>
      <c r="V210" s="536"/>
      <c r="W210" s="547"/>
      <c r="X210" s="536"/>
      <c r="Y210" s="537"/>
      <c r="Z210" s="12"/>
      <c r="AA210" s="536"/>
      <c r="AB210" s="536"/>
      <c r="AC210" s="547"/>
      <c r="AD210" s="536"/>
      <c r="AE210" s="537"/>
      <c r="AF210" s="12"/>
      <c r="AG210" s="536"/>
      <c r="AH210" s="536"/>
      <c r="AI210" s="547"/>
      <c r="AJ210" s="536"/>
      <c r="AK210" s="538"/>
      <c r="AL210" s="12"/>
      <c r="AM210" s="536"/>
      <c r="AN210" s="536"/>
      <c r="AO210" s="547"/>
      <c r="AP210" s="536"/>
      <c r="AQ210" s="538"/>
      <c r="AR210" s="530"/>
    </row>
    <row r="211" spans="1:44" ht="18.75">
      <c r="A211" s="1008"/>
      <c r="B211" s="1008"/>
      <c r="C211" s="1025"/>
      <c r="D211" s="1024"/>
      <c r="E211" s="1017"/>
      <c r="F211" s="1018"/>
      <c r="G211" s="1017"/>
      <c r="H211" s="539"/>
      <c r="I211" s="971"/>
      <c r="J211" s="1020"/>
      <c r="K211" s="59">
        <v>12279</v>
      </c>
      <c r="L211" s="553" t="s">
        <v>32</v>
      </c>
      <c r="M211" s="1033"/>
      <c r="N211" s="538"/>
      <c r="O211" s="536"/>
      <c r="P211" s="536"/>
      <c r="Q211" s="547"/>
      <c r="R211" s="536"/>
      <c r="S211" s="725"/>
      <c r="T211" s="12"/>
      <c r="U211" s="536"/>
      <c r="V211" s="536"/>
      <c r="W211" s="547"/>
      <c r="X211" s="536"/>
      <c r="Y211" s="537"/>
      <c r="Z211" s="12"/>
      <c r="AA211" s="536"/>
      <c r="AB211" s="536"/>
      <c r="AC211" s="547"/>
      <c r="AD211" s="536"/>
      <c r="AE211" s="537"/>
      <c r="AF211" s="12"/>
      <c r="AG211" s="536"/>
      <c r="AH211" s="536"/>
      <c r="AI211" s="547"/>
      <c r="AJ211" s="536"/>
      <c r="AK211" s="538"/>
      <c r="AL211" s="12"/>
      <c r="AM211" s="536"/>
      <c r="AN211" s="536"/>
      <c r="AO211" s="547"/>
      <c r="AP211" s="536"/>
      <c r="AQ211" s="538"/>
      <c r="AR211" s="530"/>
    </row>
    <row r="212" spans="1:44" ht="56.25">
      <c r="A212" s="1008">
        <v>97</v>
      </c>
      <c r="B212" s="1008">
        <v>737302</v>
      </c>
      <c r="C212" s="1025" t="s">
        <v>220</v>
      </c>
      <c r="D212" s="1024">
        <v>2.92</v>
      </c>
      <c r="E212" s="1017">
        <v>23320</v>
      </c>
      <c r="F212" s="1018">
        <v>2.92</v>
      </c>
      <c r="G212" s="1017">
        <v>23320</v>
      </c>
      <c r="H212" s="539"/>
      <c r="I212" s="312"/>
      <c r="J212" s="1028"/>
      <c r="K212" s="60"/>
      <c r="L212" s="553"/>
      <c r="M212" s="1033"/>
      <c r="N212" s="538"/>
      <c r="O212" s="536"/>
      <c r="P212" s="1008"/>
      <c r="Q212" s="558"/>
      <c r="R212" s="553"/>
      <c r="S212" s="1034"/>
      <c r="T212" s="12"/>
      <c r="U212" s="536"/>
      <c r="V212" s="536"/>
      <c r="W212" s="547"/>
      <c r="X212" s="536"/>
      <c r="Y212" s="537"/>
      <c r="Z212" s="12"/>
      <c r="AA212" s="536"/>
      <c r="AB212" s="536"/>
      <c r="AC212" s="547"/>
      <c r="AD212" s="536"/>
      <c r="AE212" s="537"/>
      <c r="AF212" s="12"/>
      <c r="AG212" s="536"/>
      <c r="AH212" s="536" t="s">
        <v>93</v>
      </c>
      <c r="AI212" s="547">
        <v>1</v>
      </c>
      <c r="AJ212" s="536" t="s">
        <v>118</v>
      </c>
      <c r="AK212" s="537">
        <v>50</v>
      </c>
      <c r="AL212" s="12"/>
      <c r="AM212" s="536"/>
      <c r="AN212" s="536"/>
      <c r="AO212" s="547"/>
      <c r="AP212" s="536"/>
      <c r="AQ212" s="538"/>
      <c r="AR212" s="530"/>
    </row>
    <row r="213" spans="1:44" ht="18.75">
      <c r="A213" s="1008"/>
      <c r="B213" s="1008"/>
      <c r="C213" s="1025"/>
      <c r="D213" s="1024"/>
      <c r="E213" s="1017"/>
      <c r="F213" s="1018"/>
      <c r="G213" s="1017"/>
      <c r="H213" s="539"/>
      <c r="I213" s="312"/>
      <c r="J213" s="1028"/>
      <c r="K213" s="59"/>
      <c r="L213" s="553"/>
      <c r="M213" s="1033"/>
      <c r="N213" s="538"/>
      <c r="O213" s="536"/>
      <c r="P213" s="1008"/>
      <c r="Q213" s="51"/>
      <c r="R213" s="43"/>
      <c r="S213" s="1035"/>
      <c r="T213" s="12"/>
      <c r="U213" s="536"/>
      <c r="V213" s="536"/>
      <c r="W213" s="547"/>
      <c r="X213" s="536"/>
      <c r="Y213" s="537"/>
      <c r="Z213" s="12"/>
      <c r="AA213" s="536"/>
      <c r="AB213" s="536"/>
      <c r="AC213" s="547"/>
      <c r="AD213" s="536"/>
      <c r="AE213" s="537"/>
      <c r="AF213" s="12"/>
      <c r="AG213" s="536"/>
      <c r="AH213" s="536"/>
      <c r="AI213" s="547"/>
      <c r="AJ213" s="536"/>
      <c r="AK213" s="538"/>
      <c r="AL213" s="12"/>
      <c r="AM213" s="536"/>
      <c r="AN213" s="536"/>
      <c r="AO213" s="547"/>
      <c r="AP213" s="536"/>
      <c r="AQ213" s="538"/>
      <c r="AR213" s="530"/>
    </row>
    <row r="214" spans="1:44" ht="18.75">
      <c r="A214" s="1008">
        <v>98</v>
      </c>
      <c r="B214" s="1008">
        <v>735941</v>
      </c>
      <c r="C214" s="1025" t="s">
        <v>221</v>
      </c>
      <c r="D214" s="1024">
        <v>0.74</v>
      </c>
      <c r="E214" s="1017">
        <v>11309</v>
      </c>
      <c r="F214" s="1018">
        <v>0.74</v>
      </c>
      <c r="G214" s="1017">
        <v>11309</v>
      </c>
      <c r="H214" s="1019" t="s">
        <v>60</v>
      </c>
      <c r="I214" s="971" t="s">
        <v>2728</v>
      </c>
      <c r="J214" s="1020" t="s">
        <v>114</v>
      </c>
      <c r="K214" s="53">
        <v>0.7</v>
      </c>
      <c r="L214" s="553" t="s">
        <v>17</v>
      </c>
      <c r="M214" s="1017">
        <v>5090.9293200000002</v>
      </c>
      <c r="N214" s="536"/>
      <c r="O214" s="536"/>
      <c r="P214" s="536"/>
      <c r="Q214" s="547"/>
      <c r="R214" s="536"/>
      <c r="S214" s="725"/>
      <c r="T214" s="12"/>
      <c r="U214" s="536"/>
      <c r="V214" s="536"/>
      <c r="W214" s="547"/>
      <c r="X214" s="536"/>
      <c r="Y214" s="537"/>
      <c r="Z214" s="12"/>
      <c r="AA214" s="536"/>
      <c r="AB214" s="536"/>
      <c r="AC214" s="547"/>
      <c r="AD214" s="536"/>
      <c r="AE214" s="537"/>
      <c r="AF214" s="12"/>
      <c r="AG214" s="536"/>
      <c r="AH214" s="536"/>
      <c r="AI214" s="547"/>
      <c r="AJ214" s="536"/>
      <c r="AK214" s="538"/>
      <c r="AL214" s="12"/>
      <c r="AM214" s="536"/>
      <c r="AN214" s="536"/>
      <c r="AO214" s="547"/>
      <c r="AP214" s="536"/>
      <c r="AQ214" s="538"/>
      <c r="AR214" s="530"/>
    </row>
    <row r="215" spans="1:44" ht="18.75">
      <c r="A215" s="1008"/>
      <c r="B215" s="1008"/>
      <c r="C215" s="1025"/>
      <c r="D215" s="1024"/>
      <c r="E215" s="1017"/>
      <c r="F215" s="1018"/>
      <c r="G215" s="1017"/>
      <c r="H215" s="1019"/>
      <c r="I215" s="971"/>
      <c r="J215" s="1020"/>
      <c r="K215" s="54">
        <v>4312</v>
      </c>
      <c r="L215" s="43" t="s">
        <v>32</v>
      </c>
      <c r="M215" s="1017"/>
      <c r="N215" s="536"/>
      <c r="O215" s="536"/>
      <c r="P215" s="536"/>
      <c r="Q215" s="547"/>
      <c r="R215" s="536"/>
      <c r="S215" s="725"/>
      <c r="T215" s="12"/>
      <c r="U215" s="536"/>
      <c r="V215" s="536"/>
      <c r="W215" s="547"/>
      <c r="X215" s="536"/>
      <c r="Y215" s="537"/>
      <c r="Z215" s="12"/>
      <c r="AA215" s="536"/>
      <c r="AB215" s="536"/>
      <c r="AC215" s="547"/>
      <c r="AD215" s="536"/>
      <c r="AE215" s="537"/>
      <c r="AF215" s="12"/>
      <c r="AG215" s="536"/>
      <c r="AH215" s="536"/>
      <c r="AI215" s="547"/>
      <c r="AJ215" s="536"/>
      <c r="AK215" s="538"/>
      <c r="AL215" s="12"/>
      <c r="AM215" s="536"/>
      <c r="AN215" s="536"/>
      <c r="AO215" s="547"/>
      <c r="AP215" s="536"/>
      <c r="AQ215" s="538"/>
      <c r="AR215" s="530"/>
    </row>
    <row r="216" spans="1:44" ht="56.25">
      <c r="A216" s="1008"/>
      <c r="B216" s="1008"/>
      <c r="C216" s="1025"/>
      <c r="D216" s="1024"/>
      <c r="E216" s="1017"/>
      <c r="F216" s="1018"/>
      <c r="G216" s="1017"/>
      <c r="H216" s="539"/>
      <c r="I216" s="312"/>
      <c r="J216" s="536"/>
      <c r="K216" s="54"/>
      <c r="L216" s="43"/>
      <c r="M216" s="537"/>
      <c r="N216" s="49" t="s">
        <v>2905</v>
      </c>
      <c r="O216" s="49" t="s">
        <v>2905</v>
      </c>
      <c r="P216" s="536" t="s">
        <v>120</v>
      </c>
      <c r="Q216" s="547">
        <v>1</v>
      </c>
      <c r="R216" s="536" t="s">
        <v>118</v>
      </c>
      <c r="S216" s="725">
        <v>2500</v>
      </c>
      <c r="T216" s="12"/>
      <c r="U216" s="536"/>
      <c r="V216" s="536"/>
      <c r="W216" s="547"/>
      <c r="X216" s="536"/>
      <c r="Y216" s="537"/>
      <c r="Z216" s="12"/>
      <c r="AA216" s="536"/>
      <c r="AB216" s="536"/>
      <c r="AC216" s="547"/>
      <c r="AD216" s="536"/>
      <c r="AE216" s="537"/>
      <c r="AF216" s="12"/>
      <c r="AG216" s="536"/>
      <c r="AH216" s="536"/>
      <c r="AI216" s="547"/>
      <c r="AJ216" s="536"/>
      <c r="AK216" s="538"/>
      <c r="AL216" s="12"/>
      <c r="AM216" s="536"/>
      <c r="AN216" s="536"/>
      <c r="AO216" s="547"/>
      <c r="AP216" s="536"/>
      <c r="AQ216" s="538"/>
      <c r="AR216" s="530"/>
    </row>
    <row r="217" spans="1:44" ht="34.5" customHeight="1">
      <c r="A217" s="1008">
        <v>99</v>
      </c>
      <c r="B217" s="1008">
        <v>3543826</v>
      </c>
      <c r="C217" s="1025" t="s">
        <v>222</v>
      </c>
      <c r="D217" s="1024">
        <v>9.41</v>
      </c>
      <c r="E217" s="1017">
        <v>65842</v>
      </c>
      <c r="F217" s="1018">
        <v>9.41</v>
      </c>
      <c r="G217" s="1017">
        <v>65842</v>
      </c>
      <c r="H217" s="539"/>
      <c r="I217" s="313"/>
      <c r="J217" s="536"/>
      <c r="K217" s="42"/>
      <c r="L217" s="50"/>
      <c r="M217" s="537"/>
      <c r="N217" s="538"/>
      <c r="O217" s="536"/>
      <c r="P217" s="536"/>
      <c r="Q217" s="547"/>
      <c r="R217" s="536"/>
      <c r="S217" s="725"/>
      <c r="T217" s="1032" t="s">
        <v>60</v>
      </c>
      <c r="U217" s="1008" t="s">
        <v>2934</v>
      </c>
      <c r="V217" s="1020" t="s">
        <v>114</v>
      </c>
      <c r="W217" s="507">
        <v>9.4</v>
      </c>
      <c r="X217" s="518" t="s">
        <v>17</v>
      </c>
      <c r="Y217" s="900">
        <v>53990</v>
      </c>
      <c r="Z217" s="12"/>
      <c r="AA217" s="536"/>
      <c r="AB217" s="536"/>
      <c r="AC217" s="547"/>
      <c r="AD217" s="536"/>
      <c r="AE217" s="537"/>
      <c r="AF217" s="12"/>
      <c r="AG217" s="536"/>
      <c r="AH217" s="536"/>
      <c r="AI217" s="547"/>
      <c r="AJ217" s="536"/>
      <c r="AK217" s="538"/>
      <c r="AL217" s="12"/>
      <c r="AM217" s="536"/>
      <c r="AN217" s="536"/>
      <c r="AO217" s="547"/>
      <c r="AP217" s="536"/>
      <c r="AQ217" s="538"/>
      <c r="AR217" s="530"/>
    </row>
    <row r="218" spans="1:44" ht="34.5" customHeight="1">
      <c r="A218" s="1008"/>
      <c r="B218" s="1008"/>
      <c r="C218" s="1025"/>
      <c r="D218" s="1024"/>
      <c r="E218" s="1017"/>
      <c r="F218" s="1018"/>
      <c r="G218" s="1017"/>
      <c r="H218" s="539"/>
      <c r="I218" s="313"/>
      <c r="J218" s="536"/>
      <c r="K218" s="42"/>
      <c r="L218" s="50"/>
      <c r="M218" s="537"/>
      <c r="N218" s="538"/>
      <c r="O218" s="536"/>
      <c r="P218" s="536"/>
      <c r="Q218" s="547"/>
      <c r="R218" s="536"/>
      <c r="S218" s="725"/>
      <c r="T218" s="1032"/>
      <c r="U218" s="1008"/>
      <c r="V218" s="1020"/>
      <c r="W218" s="507">
        <v>65842</v>
      </c>
      <c r="X218" s="507" t="s">
        <v>32</v>
      </c>
      <c r="Y218" s="900"/>
      <c r="Z218" s="12"/>
      <c r="AA218" s="536"/>
      <c r="AB218" s="536"/>
      <c r="AC218" s="547"/>
      <c r="AD218" s="536"/>
      <c r="AE218" s="537"/>
      <c r="AF218" s="12"/>
      <c r="AG218" s="536"/>
      <c r="AH218" s="536"/>
      <c r="AI218" s="547"/>
      <c r="AJ218" s="536"/>
      <c r="AK218" s="538"/>
      <c r="AL218" s="12"/>
      <c r="AM218" s="536"/>
      <c r="AN218" s="536"/>
      <c r="AO218" s="547"/>
      <c r="AP218" s="536"/>
      <c r="AQ218" s="538"/>
      <c r="AR218" s="530"/>
    </row>
    <row r="219" spans="1:44" ht="18.75" customHeight="1">
      <c r="A219" s="1008">
        <v>100</v>
      </c>
      <c r="B219" s="1008">
        <v>742995</v>
      </c>
      <c r="C219" s="1025" t="s">
        <v>223</v>
      </c>
      <c r="D219" s="1024">
        <v>0.56899999999999995</v>
      </c>
      <c r="E219" s="1017">
        <v>5318</v>
      </c>
      <c r="F219" s="1018">
        <v>0.56999999999999995</v>
      </c>
      <c r="G219" s="1017">
        <v>5318</v>
      </c>
      <c r="H219" s="539"/>
      <c r="I219" s="313"/>
      <c r="J219" s="536"/>
      <c r="K219" s="42"/>
      <c r="L219" s="50"/>
      <c r="M219" s="537"/>
      <c r="N219" s="1019" t="s">
        <v>2860</v>
      </c>
      <c r="O219" s="1019" t="s">
        <v>2906</v>
      </c>
      <c r="P219" s="1020" t="s">
        <v>114</v>
      </c>
      <c r="Q219" s="558">
        <v>0.56100000000000005</v>
      </c>
      <c r="R219" s="553" t="s">
        <v>17</v>
      </c>
      <c r="S219" s="1034">
        <f>8911.68/0.709*Q219</f>
        <v>7051.4139351198883</v>
      </c>
      <c r="T219" s="12"/>
      <c r="U219" s="536"/>
      <c r="V219" s="536"/>
      <c r="W219" s="547"/>
      <c r="X219" s="536"/>
      <c r="Y219" s="537"/>
      <c r="Z219" s="12"/>
      <c r="AA219" s="536"/>
      <c r="AB219" s="536"/>
      <c r="AC219" s="547"/>
      <c r="AD219" s="536"/>
      <c r="AE219" s="537"/>
      <c r="AF219" s="12"/>
      <c r="AG219" s="536"/>
      <c r="AH219" s="536"/>
      <c r="AI219" s="547"/>
      <c r="AJ219" s="536"/>
      <c r="AK219" s="538"/>
      <c r="AL219" s="12"/>
      <c r="AM219" s="536"/>
      <c r="AN219" s="536"/>
      <c r="AO219" s="547"/>
      <c r="AP219" s="536"/>
      <c r="AQ219" s="538"/>
      <c r="AR219" s="530"/>
    </row>
    <row r="220" spans="1:44" ht="18.75" customHeight="1">
      <c r="A220" s="1008"/>
      <c r="B220" s="1008"/>
      <c r="C220" s="1025"/>
      <c r="D220" s="1024"/>
      <c r="E220" s="1017"/>
      <c r="F220" s="1018"/>
      <c r="G220" s="1017"/>
      <c r="H220" s="539"/>
      <c r="I220" s="313"/>
      <c r="J220" s="536"/>
      <c r="K220" s="42"/>
      <c r="L220" s="50"/>
      <c r="M220" s="537"/>
      <c r="N220" s="1019"/>
      <c r="O220" s="1019"/>
      <c r="P220" s="1020"/>
      <c r="Q220" s="51">
        <v>5318</v>
      </c>
      <c r="R220" s="43" t="s">
        <v>32</v>
      </c>
      <c r="S220" s="1035"/>
      <c r="T220" s="12"/>
      <c r="U220" s="536"/>
      <c r="V220" s="536"/>
      <c r="W220" s="547"/>
      <c r="X220" s="536"/>
      <c r="Y220" s="537"/>
      <c r="Z220" s="12"/>
      <c r="AA220" s="536"/>
      <c r="AB220" s="536"/>
      <c r="AC220" s="547"/>
      <c r="AD220" s="536"/>
      <c r="AE220" s="537"/>
      <c r="AF220" s="12"/>
      <c r="AG220" s="536"/>
      <c r="AH220" s="536"/>
      <c r="AI220" s="547"/>
      <c r="AJ220" s="536"/>
      <c r="AK220" s="538"/>
      <c r="AL220" s="12"/>
      <c r="AM220" s="536"/>
      <c r="AN220" s="536"/>
      <c r="AO220" s="547"/>
      <c r="AP220" s="536"/>
      <c r="AQ220" s="538"/>
      <c r="AR220" s="530"/>
    </row>
    <row r="221" spans="1:44" ht="56.25">
      <c r="A221" s="1008"/>
      <c r="B221" s="1008"/>
      <c r="C221" s="1025"/>
      <c r="D221" s="1024"/>
      <c r="E221" s="1017"/>
      <c r="F221" s="1018"/>
      <c r="G221" s="1017"/>
      <c r="H221" s="539"/>
      <c r="I221" s="313"/>
      <c r="J221" s="536"/>
      <c r="K221" s="42"/>
      <c r="L221" s="50"/>
      <c r="M221" s="537"/>
      <c r="N221" s="316" t="s">
        <v>2825</v>
      </c>
      <c r="O221" s="316" t="s">
        <v>2825</v>
      </c>
      <c r="P221" s="536" t="s">
        <v>120</v>
      </c>
      <c r="Q221" s="547">
        <v>1</v>
      </c>
      <c r="R221" s="536" t="s">
        <v>118</v>
      </c>
      <c r="S221" s="725">
        <v>50</v>
      </c>
      <c r="T221" s="12"/>
      <c r="U221" s="536"/>
      <c r="V221" s="536"/>
      <c r="W221" s="547"/>
      <c r="X221" s="536"/>
      <c r="Y221" s="537"/>
      <c r="Z221" s="12"/>
      <c r="AA221" s="536"/>
      <c r="AB221" s="536"/>
      <c r="AC221" s="547"/>
      <c r="AD221" s="536"/>
      <c r="AE221" s="537"/>
      <c r="AF221" s="12"/>
      <c r="AG221" s="536"/>
      <c r="AH221" s="536"/>
      <c r="AI221" s="547"/>
      <c r="AJ221" s="536"/>
      <c r="AK221" s="538"/>
      <c r="AL221" s="12"/>
      <c r="AM221" s="536"/>
      <c r="AN221" s="536"/>
      <c r="AO221" s="547"/>
      <c r="AP221" s="536"/>
      <c r="AQ221" s="538"/>
      <c r="AR221" s="530"/>
    </row>
    <row r="222" spans="1:44" ht="18.75">
      <c r="A222" s="1008">
        <v>101</v>
      </c>
      <c r="B222" s="1008">
        <v>740686</v>
      </c>
      <c r="C222" s="1025" t="s">
        <v>224</v>
      </c>
      <c r="D222" s="1024">
        <v>0.78</v>
      </c>
      <c r="E222" s="1017">
        <v>5114</v>
      </c>
      <c r="F222" s="1018">
        <v>0.78</v>
      </c>
      <c r="G222" s="1017">
        <v>5114</v>
      </c>
      <c r="H222" s="1019" t="s">
        <v>60</v>
      </c>
      <c r="I222" s="971" t="s">
        <v>2706</v>
      </c>
      <c r="J222" s="1020" t="s">
        <v>114</v>
      </c>
      <c r="K222" s="558">
        <v>0.78</v>
      </c>
      <c r="L222" s="553" t="s">
        <v>17</v>
      </c>
      <c r="M222" s="1017">
        <v>6004.6351800000002</v>
      </c>
      <c r="N222" s="538"/>
      <c r="O222" s="536"/>
      <c r="P222" s="536"/>
      <c r="Q222" s="547"/>
      <c r="R222" s="536"/>
      <c r="S222" s="725"/>
      <c r="T222" s="12"/>
      <c r="U222" s="536"/>
      <c r="V222" s="536"/>
      <c r="W222" s="547"/>
      <c r="X222" s="536"/>
      <c r="Y222" s="537"/>
      <c r="Z222" s="12"/>
      <c r="AA222" s="536"/>
      <c r="AB222" s="536"/>
      <c r="AC222" s="547"/>
      <c r="AD222" s="536"/>
      <c r="AE222" s="537"/>
      <c r="AF222" s="12"/>
      <c r="AG222" s="536"/>
      <c r="AH222" s="536"/>
      <c r="AI222" s="547"/>
      <c r="AJ222" s="536"/>
      <c r="AK222" s="538"/>
      <c r="AL222" s="12"/>
      <c r="AM222" s="536"/>
      <c r="AN222" s="536"/>
      <c r="AO222" s="547"/>
      <c r="AP222" s="536"/>
      <c r="AQ222" s="538"/>
      <c r="AR222" s="530"/>
    </row>
    <row r="223" spans="1:44" ht="18.75">
      <c r="A223" s="1008"/>
      <c r="B223" s="1008"/>
      <c r="C223" s="1025"/>
      <c r="D223" s="1024"/>
      <c r="E223" s="1017"/>
      <c r="F223" s="1018"/>
      <c r="G223" s="1017"/>
      <c r="H223" s="1019"/>
      <c r="I223" s="971"/>
      <c r="J223" s="1020"/>
      <c r="K223" s="51">
        <v>5114</v>
      </c>
      <c r="L223" s="43" t="s">
        <v>32</v>
      </c>
      <c r="M223" s="1017"/>
      <c r="N223" s="538"/>
      <c r="O223" s="536"/>
      <c r="P223" s="536"/>
      <c r="Q223" s="547"/>
      <c r="R223" s="536"/>
      <c r="S223" s="725"/>
      <c r="T223" s="12"/>
      <c r="U223" s="536"/>
      <c r="V223" s="536"/>
      <c r="W223" s="547"/>
      <c r="X223" s="536"/>
      <c r="Y223" s="537"/>
      <c r="Z223" s="12"/>
      <c r="AA223" s="536"/>
      <c r="AB223" s="536"/>
      <c r="AC223" s="547"/>
      <c r="AD223" s="536"/>
      <c r="AE223" s="537"/>
      <c r="AF223" s="12"/>
      <c r="AG223" s="536"/>
      <c r="AH223" s="536"/>
      <c r="AI223" s="547"/>
      <c r="AJ223" s="536"/>
      <c r="AK223" s="538"/>
      <c r="AL223" s="12"/>
      <c r="AM223" s="536"/>
      <c r="AN223" s="536"/>
      <c r="AO223" s="547"/>
      <c r="AP223" s="536"/>
      <c r="AQ223" s="538"/>
      <c r="AR223" s="530"/>
    </row>
    <row r="224" spans="1:44" ht="56.25">
      <c r="A224" s="1008">
        <v>102</v>
      </c>
      <c r="B224" s="1008">
        <v>736904</v>
      </c>
      <c r="C224" s="1025" t="s">
        <v>225</v>
      </c>
      <c r="D224" s="1024">
        <v>0.749</v>
      </c>
      <c r="E224" s="1017">
        <v>6366</v>
      </c>
      <c r="F224" s="1018">
        <v>0.749</v>
      </c>
      <c r="G224" s="1017">
        <v>6366</v>
      </c>
      <c r="H224" s="539"/>
      <c r="I224" s="312"/>
      <c r="J224" s="1008"/>
      <c r="K224" s="42"/>
      <c r="L224" s="553"/>
      <c r="M224" s="1017"/>
      <c r="N224" s="538"/>
      <c r="O224" s="536"/>
      <c r="P224" s="536"/>
      <c r="Q224" s="547"/>
      <c r="R224" s="536"/>
      <c r="S224" s="725"/>
      <c r="T224" s="12"/>
      <c r="U224" s="536"/>
      <c r="V224" s="536"/>
      <c r="W224" s="547"/>
      <c r="X224" s="536"/>
      <c r="Y224" s="537"/>
      <c r="Z224" s="12"/>
      <c r="AA224" s="536"/>
      <c r="AB224" s="536"/>
      <c r="AC224" s="547"/>
      <c r="AD224" s="536"/>
      <c r="AE224" s="537"/>
      <c r="AF224" s="12"/>
      <c r="AG224" s="536"/>
      <c r="AH224" s="536" t="s">
        <v>93</v>
      </c>
      <c r="AI224" s="547">
        <v>1</v>
      </c>
      <c r="AJ224" s="536" t="s">
        <v>118</v>
      </c>
      <c r="AK224" s="537">
        <v>50</v>
      </c>
      <c r="AL224" s="12"/>
      <c r="AM224" s="536"/>
      <c r="AN224" s="536"/>
      <c r="AO224" s="547"/>
      <c r="AP224" s="536"/>
      <c r="AQ224" s="538"/>
      <c r="AR224" s="530"/>
    </row>
    <row r="225" spans="1:44" ht="18.75">
      <c r="A225" s="1008"/>
      <c r="B225" s="1008"/>
      <c r="C225" s="1025"/>
      <c r="D225" s="1024"/>
      <c r="E225" s="1017"/>
      <c r="F225" s="1018"/>
      <c r="G225" s="1017"/>
      <c r="H225" s="539"/>
      <c r="I225" s="312"/>
      <c r="J225" s="1008"/>
      <c r="K225" s="51"/>
      <c r="L225" s="43"/>
      <c r="M225" s="1017"/>
      <c r="N225" s="538"/>
      <c r="O225" s="536"/>
      <c r="P225" s="536"/>
      <c r="Q225" s="547"/>
      <c r="R225" s="536"/>
      <c r="S225" s="725"/>
      <c r="T225" s="12"/>
      <c r="U225" s="536"/>
      <c r="V225" s="536"/>
      <c r="W225" s="547"/>
      <c r="X225" s="536"/>
      <c r="Y225" s="537"/>
      <c r="Z225" s="12"/>
      <c r="AA225" s="536"/>
      <c r="AB225" s="536"/>
      <c r="AC225" s="547"/>
      <c r="AD225" s="536"/>
      <c r="AE225" s="537"/>
      <c r="AF225" s="12"/>
      <c r="AG225" s="536"/>
      <c r="AH225" s="536"/>
      <c r="AI225" s="547"/>
      <c r="AJ225" s="536"/>
      <c r="AK225" s="538"/>
      <c r="AL225" s="12"/>
      <c r="AM225" s="536"/>
      <c r="AN225" s="536"/>
      <c r="AO225" s="547"/>
      <c r="AP225" s="536"/>
      <c r="AQ225" s="538"/>
      <c r="AR225" s="530"/>
    </row>
    <row r="226" spans="1:44" ht="18.75" customHeight="1">
      <c r="A226" s="1008">
        <v>103</v>
      </c>
      <c r="B226" s="1008">
        <v>738326</v>
      </c>
      <c r="C226" s="1025" t="s">
        <v>226</v>
      </c>
      <c r="D226" s="1024">
        <v>0.35</v>
      </c>
      <c r="E226" s="1017">
        <v>3810</v>
      </c>
      <c r="F226" s="1018">
        <v>0.35</v>
      </c>
      <c r="G226" s="1017">
        <v>3810</v>
      </c>
      <c r="H226" s="1019" t="s">
        <v>60</v>
      </c>
      <c r="I226" s="1019" t="s">
        <v>2729</v>
      </c>
      <c r="J226" s="1020" t="s">
        <v>114</v>
      </c>
      <c r="K226" s="558">
        <v>0.35</v>
      </c>
      <c r="L226" s="553" t="s">
        <v>17</v>
      </c>
      <c r="M226" s="1017">
        <v>4688.9869200000003</v>
      </c>
      <c r="N226" s="538"/>
      <c r="O226" s="536"/>
      <c r="P226" s="536"/>
      <c r="Q226" s="547"/>
      <c r="R226" s="536"/>
      <c r="S226" s="725"/>
      <c r="T226" s="12"/>
      <c r="U226" s="536"/>
      <c r="V226" s="536"/>
      <c r="W226" s="547"/>
      <c r="X226" s="536"/>
      <c r="Y226" s="537"/>
      <c r="Z226" s="12"/>
      <c r="AA226" s="536"/>
      <c r="AB226" s="536"/>
      <c r="AC226" s="547"/>
      <c r="AD226" s="536"/>
      <c r="AE226" s="537"/>
      <c r="AF226" s="12"/>
      <c r="AG226" s="536"/>
      <c r="AH226" s="536"/>
      <c r="AI226" s="547"/>
      <c r="AJ226" s="536"/>
      <c r="AK226" s="538"/>
      <c r="AL226" s="12"/>
      <c r="AM226" s="536"/>
      <c r="AN226" s="536"/>
      <c r="AO226" s="547"/>
      <c r="AP226" s="536"/>
      <c r="AQ226" s="538"/>
      <c r="AR226" s="530"/>
    </row>
    <row r="227" spans="1:44" ht="18.75">
      <c r="A227" s="1008"/>
      <c r="B227" s="1008"/>
      <c r="C227" s="1025"/>
      <c r="D227" s="1024"/>
      <c r="E227" s="1017"/>
      <c r="F227" s="1018"/>
      <c r="G227" s="1017"/>
      <c r="H227" s="1019"/>
      <c r="I227" s="1019"/>
      <c r="J227" s="1020"/>
      <c r="K227" s="51">
        <v>3810</v>
      </c>
      <c r="L227" s="43" t="s">
        <v>32</v>
      </c>
      <c r="M227" s="1017"/>
      <c r="N227" s="538"/>
      <c r="O227" s="536"/>
      <c r="P227" s="536"/>
      <c r="Q227" s="547"/>
      <c r="R227" s="536"/>
      <c r="S227" s="725"/>
      <c r="T227" s="12"/>
      <c r="U227" s="536"/>
      <c r="V227" s="536"/>
      <c r="W227" s="547"/>
      <c r="X227" s="536"/>
      <c r="Y227" s="537"/>
      <c r="Z227" s="12"/>
      <c r="AA227" s="536"/>
      <c r="AB227" s="536"/>
      <c r="AC227" s="547"/>
      <c r="AD227" s="536"/>
      <c r="AE227" s="537"/>
      <c r="AF227" s="12"/>
      <c r="AG227" s="536"/>
      <c r="AH227" s="536"/>
      <c r="AI227" s="547"/>
      <c r="AJ227" s="536"/>
      <c r="AK227" s="538"/>
      <c r="AL227" s="12"/>
      <c r="AM227" s="536"/>
      <c r="AN227" s="536"/>
      <c r="AO227" s="547"/>
      <c r="AP227" s="536"/>
      <c r="AQ227" s="538"/>
      <c r="AR227" s="530"/>
    </row>
    <row r="228" spans="1:44" ht="72.75" customHeight="1">
      <c r="A228" s="1008">
        <v>104</v>
      </c>
      <c r="B228" s="1008">
        <v>742600</v>
      </c>
      <c r="C228" s="1025" t="s">
        <v>227</v>
      </c>
      <c r="D228" s="1024">
        <v>1.48</v>
      </c>
      <c r="E228" s="1017">
        <v>13865</v>
      </c>
      <c r="F228" s="1018">
        <v>1.48</v>
      </c>
      <c r="G228" s="1017">
        <v>13865</v>
      </c>
      <c r="H228" s="539"/>
      <c r="I228" s="539"/>
      <c r="J228" s="1008"/>
      <c r="K228" s="558"/>
      <c r="L228" s="553"/>
      <c r="M228" s="1017"/>
      <c r="N228" s="1019" t="s">
        <v>2907</v>
      </c>
      <c r="O228" s="1019" t="s">
        <v>2907</v>
      </c>
      <c r="P228" s="1008" t="s">
        <v>116</v>
      </c>
      <c r="Q228" s="558">
        <v>5.6000000000000001E-2</v>
      </c>
      <c r="R228" s="553" t="s">
        <v>17</v>
      </c>
      <c r="S228" s="1034">
        <v>586725.45900000003</v>
      </c>
      <c r="T228" s="1019" t="s">
        <v>2907</v>
      </c>
      <c r="U228" s="1019" t="s">
        <v>2907</v>
      </c>
      <c r="V228" s="1008" t="s">
        <v>116</v>
      </c>
      <c r="W228" s="558">
        <v>5.6000000000000001E-2</v>
      </c>
      <c r="X228" s="553" t="s">
        <v>17</v>
      </c>
      <c r="Y228" s="1017">
        <v>170000</v>
      </c>
      <c r="Z228" s="12"/>
      <c r="AA228" s="536"/>
      <c r="AB228" s="536"/>
      <c r="AC228" s="547"/>
      <c r="AD228" s="536"/>
      <c r="AE228" s="537"/>
      <c r="AF228" s="12"/>
      <c r="AG228" s="536"/>
      <c r="AH228" s="536"/>
      <c r="AI228" s="547"/>
      <c r="AJ228" s="536"/>
      <c r="AK228" s="538"/>
      <c r="AL228" s="1031"/>
      <c r="AM228" s="1023"/>
      <c r="AN228" s="1042"/>
      <c r="AO228" s="547"/>
      <c r="AP228" s="553"/>
      <c r="AQ228" s="1027"/>
      <c r="AR228" s="530"/>
    </row>
    <row r="229" spans="1:44" ht="72.75" customHeight="1">
      <c r="A229" s="1008"/>
      <c r="B229" s="1008"/>
      <c r="C229" s="1025"/>
      <c r="D229" s="1024"/>
      <c r="E229" s="1017"/>
      <c r="F229" s="1018"/>
      <c r="G229" s="1017"/>
      <c r="H229" s="539"/>
      <c r="I229" s="539"/>
      <c r="J229" s="1008"/>
      <c r="K229" s="51"/>
      <c r="L229" s="43"/>
      <c r="M229" s="1017"/>
      <c r="N229" s="1019"/>
      <c r="O229" s="1019"/>
      <c r="P229" s="1008"/>
      <c r="Q229" s="50">
        <v>1022</v>
      </c>
      <c r="R229" s="43" t="s">
        <v>32</v>
      </c>
      <c r="S229" s="1035"/>
      <c r="T229" s="1019"/>
      <c r="U229" s="1019"/>
      <c r="V229" s="1008"/>
      <c r="W229" s="50">
        <v>1022</v>
      </c>
      <c r="X229" s="43" t="s">
        <v>32</v>
      </c>
      <c r="Y229" s="1017"/>
      <c r="Z229" s="12"/>
      <c r="AA229" s="536"/>
      <c r="AB229" s="536"/>
      <c r="AC229" s="547"/>
      <c r="AD229" s="536"/>
      <c r="AE229" s="537"/>
      <c r="AF229" s="12"/>
      <c r="AG229" s="536"/>
      <c r="AH229" s="536"/>
      <c r="AI229" s="547"/>
      <c r="AJ229" s="536"/>
      <c r="AK229" s="538"/>
      <c r="AL229" s="1026"/>
      <c r="AM229" s="1026"/>
      <c r="AN229" s="1026"/>
      <c r="AO229" s="536"/>
      <c r="AP229" s="43"/>
      <c r="AQ229" s="1027"/>
      <c r="AR229" s="530"/>
    </row>
    <row r="230" spans="1:44" ht="56.25">
      <c r="A230" s="536">
        <v>105</v>
      </c>
      <c r="B230" s="536">
        <v>737937</v>
      </c>
      <c r="C230" s="546" t="s">
        <v>228</v>
      </c>
      <c r="D230" s="547">
        <v>0.3</v>
      </c>
      <c r="E230" s="537">
        <v>2037</v>
      </c>
      <c r="F230" s="548">
        <v>0.3</v>
      </c>
      <c r="G230" s="537">
        <v>2037</v>
      </c>
      <c r="H230" s="539"/>
      <c r="I230" s="313"/>
      <c r="J230" s="536"/>
      <c r="K230" s="42"/>
      <c r="L230" s="50"/>
      <c r="M230" s="537"/>
      <c r="N230" s="538"/>
      <c r="O230" s="536"/>
      <c r="P230" s="536"/>
      <c r="Q230" s="547"/>
      <c r="R230" s="536"/>
      <c r="S230" s="725"/>
      <c r="T230" s="12"/>
      <c r="U230" s="536"/>
      <c r="V230" s="536"/>
      <c r="W230" s="547"/>
      <c r="X230" s="536"/>
      <c r="Y230" s="537"/>
      <c r="Z230" s="12"/>
      <c r="AA230" s="536"/>
      <c r="AB230" s="536"/>
      <c r="AC230" s="547"/>
      <c r="AD230" s="536"/>
      <c r="AE230" s="537"/>
      <c r="AF230" s="12"/>
      <c r="AG230" s="536"/>
      <c r="AH230" s="536"/>
      <c r="AI230" s="547"/>
      <c r="AJ230" s="536"/>
      <c r="AK230" s="538"/>
      <c r="AL230" s="12"/>
      <c r="AM230" s="536"/>
      <c r="AN230" s="536" t="s">
        <v>93</v>
      </c>
      <c r="AO230" s="547">
        <v>1</v>
      </c>
      <c r="AP230" s="536" t="s">
        <v>118</v>
      </c>
      <c r="AQ230" s="537">
        <v>50</v>
      </c>
      <c r="AR230" s="530"/>
    </row>
    <row r="231" spans="1:44" ht="56.25">
      <c r="A231" s="1008">
        <v>106</v>
      </c>
      <c r="B231" s="1008">
        <v>735095</v>
      </c>
      <c r="C231" s="1025" t="s">
        <v>229</v>
      </c>
      <c r="D231" s="1024">
        <v>1.1000000000000001</v>
      </c>
      <c r="E231" s="1017">
        <v>11179</v>
      </c>
      <c r="F231" s="1018">
        <v>1.1000000000000001</v>
      </c>
      <c r="G231" s="1017">
        <v>11179</v>
      </c>
      <c r="H231" s="539"/>
      <c r="I231" s="539"/>
      <c r="J231" s="536"/>
      <c r="K231" s="42"/>
      <c r="L231" s="50"/>
      <c r="M231" s="537"/>
      <c r="N231" s="49"/>
      <c r="O231" s="49"/>
      <c r="P231" s="1008"/>
      <c r="Q231" s="558"/>
      <c r="R231" s="553"/>
      <c r="S231" s="1034"/>
      <c r="T231" s="1019"/>
      <c r="U231" s="1019"/>
      <c r="V231" s="536"/>
      <c r="W231" s="42"/>
      <c r="X231" s="50"/>
      <c r="Y231" s="537"/>
      <c r="Z231" s="12"/>
      <c r="AA231" s="536"/>
      <c r="AB231" s="536" t="s">
        <v>93</v>
      </c>
      <c r="AC231" s="547">
        <v>1</v>
      </c>
      <c r="AD231" s="536" t="s">
        <v>118</v>
      </c>
      <c r="AE231" s="537">
        <v>50</v>
      </c>
      <c r="AF231" s="12"/>
      <c r="AG231" s="536"/>
      <c r="AH231" s="536"/>
      <c r="AI231" s="547"/>
      <c r="AJ231" s="536"/>
      <c r="AK231" s="537"/>
      <c r="AL231" s="1031"/>
      <c r="AM231" s="1023"/>
      <c r="AN231" s="1042"/>
      <c r="AO231" s="547"/>
      <c r="AP231" s="553"/>
      <c r="AQ231" s="1027"/>
      <c r="AR231" s="530"/>
    </row>
    <row r="232" spans="1:44" ht="18.75">
      <c r="A232" s="1008"/>
      <c r="B232" s="1008"/>
      <c r="C232" s="1025"/>
      <c r="D232" s="1024"/>
      <c r="E232" s="1017"/>
      <c r="F232" s="1018"/>
      <c r="G232" s="1017"/>
      <c r="H232" s="539"/>
      <c r="I232" s="313"/>
      <c r="J232" s="536"/>
      <c r="K232" s="42"/>
      <c r="L232" s="50"/>
      <c r="M232" s="537"/>
      <c r="N232" s="538"/>
      <c r="O232" s="536"/>
      <c r="P232" s="1008"/>
      <c r="Q232" s="51"/>
      <c r="R232" s="43"/>
      <c r="S232" s="1035"/>
      <c r="T232" s="12"/>
      <c r="U232" s="536"/>
      <c r="V232" s="536"/>
      <c r="W232" s="547"/>
      <c r="X232" s="536"/>
      <c r="Y232" s="537"/>
      <c r="Z232" s="12"/>
      <c r="AA232" s="536"/>
      <c r="AB232" s="536"/>
      <c r="AC232" s="547"/>
      <c r="AD232" s="536"/>
      <c r="AE232" s="537"/>
      <c r="AF232" s="12"/>
      <c r="AG232" s="536"/>
      <c r="AH232" s="536"/>
      <c r="AI232" s="547"/>
      <c r="AJ232" s="536"/>
      <c r="AK232" s="538"/>
      <c r="AL232" s="1026"/>
      <c r="AM232" s="1026"/>
      <c r="AN232" s="1026"/>
      <c r="AO232" s="536"/>
      <c r="AP232" s="43"/>
      <c r="AQ232" s="1027"/>
      <c r="AR232" s="530"/>
    </row>
    <row r="233" spans="1:44" ht="56.25">
      <c r="A233" s="536">
        <v>107</v>
      </c>
      <c r="B233" s="536">
        <v>735941</v>
      </c>
      <c r="C233" s="546" t="s">
        <v>230</v>
      </c>
      <c r="D233" s="547">
        <v>1</v>
      </c>
      <c r="E233" s="537">
        <v>9570</v>
      </c>
      <c r="F233" s="548">
        <v>1</v>
      </c>
      <c r="G233" s="537">
        <v>9570</v>
      </c>
      <c r="H233" s="536"/>
      <c r="I233" s="313"/>
      <c r="J233" s="536"/>
      <c r="K233" s="42"/>
      <c r="L233" s="50"/>
      <c r="M233" s="537"/>
      <c r="N233" s="538"/>
      <c r="O233" s="536"/>
      <c r="P233" s="536"/>
      <c r="Q233" s="547"/>
      <c r="R233" s="536"/>
      <c r="S233" s="725"/>
      <c r="T233" s="12"/>
      <c r="U233" s="536"/>
      <c r="V233" s="536"/>
      <c r="W233" s="547"/>
      <c r="X233" s="536"/>
      <c r="Y233" s="537"/>
      <c r="Z233" s="12"/>
      <c r="AA233" s="536"/>
      <c r="AB233" s="536"/>
      <c r="AC233" s="547"/>
      <c r="AD233" s="536"/>
      <c r="AE233" s="537"/>
      <c r="AF233" s="12"/>
      <c r="AG233" s="536"/>
      <c r="AH233" s="536" t="s">
        <v>93</v>
      </c>
      <c r="AI233" s="547">
        <v>1</v>
      </c>
      <c r="AJ233" s="536" t="s">
        <v>118</v>
      </c>
      <c r="AK233" s="537">
        <v>50</v>
      </c>
      <c r="AL233" s="12"/>
      <c r="AM233" s="536"/>
      <c r="AN233" s="536"/>
      <c r="AO233" s="547"/>
      <c r="AP233" s="536"/>
      <c r="AQ233" s="538"/>
      <c r="AR233" s="530"/>
    </row>
    <row r="234" spans="1:44" ht="56.25">
      <c r="A234" s="536">
        <v>108</v>
      </c>
      <c r="B234" s="536">
        <v>735941</v>
      </c>
      <c r="C234" s="546" t="s">
        <v>231</v>
      </c>
      <c r="D234" s="547">
        <v>0.82</v>
      </c>
      <c r="E234" s="537">
        <v>10135</v>
      </c>
      <c r="F234" s="548">
        <v>0.82</v>
      </c>
      <c r="G234" s="537">
        <v>10135</v>
      </c>
      <c r="H234" s="539"/>
      <c r="I234" s="313"/>
      <c r="J234" s="536"/>
      <c r="K234" s="42"/>
      <c r="L234" s="50"/>
      <c r="M234" s="537"/>
      <c r="N234" s="538"/>
      <c r="O234" s="536"/>
      <c r="P234" s="536"/>
      <c r="Q234" s="547"/>
      <c r="R234" s="536"/>
      <c r="S234" s="725"/>
      <c r="T234" s="12"/>
      <c r="U234" s="536"/>
      <c r="V234" s="536"/>
      <c r="W234" s="547"/>
      <c r="X234" s="536"/>
      <c r="Y234" s="537"/>
      <c r="Z234" s="12"/>
      <c r="AA234" s="536"/>
      <c r="AB234" s="536" t="s">
        <v>93</v>
      </c>
      <c r="AC234" s="547">
        <v>1</v>
      </c>
      <c r="AD234" s="536" t="s">
        <v>118</v>
      </c>
      <c r="AE234" s="537">
        <v>50</v>
      </c>
      <c r="AF234" s="12"/>
      <c r="AG234" s="536"/>
      <c r="AH234" s="536"/>
      <c r="AI234" s="547"/>
      <c r="AJ234" s="536"/>
      <c r="AK234" s="538"/>
      <c r="AL234" s="12"/>
      <c r="AM234" s="536"/>
      <c r="AN234" s="536"/>
      <c r="AO234" s="547"/>
      <c r="AP234" s="536"/>
      <c r="AQ234" s="537"/>
      <c r="AR234" s="530"/>
    </row>
    <row r="235" spans="1:44" ht="56.25">
      <c r="A235" s="536">
        <v>109</v>
      </c>
      <c r="B235" s="536">
        <v>735947</v>
      </c>
      <c r="C235" s="546" t="s">
        <v>232</v>
      </c>
      <c r="D235" s="547">
        <v>0.76</v>
      </c>
      <c r="E235" s="537">
        <v>7540</v>
      </c>
      <c r="F235" s="548">
        <v>0.76</v>
      </c>
      <c r="G235" s="537">
        <v>7540</v>
      </c>
      <c r="H235" s="536"/>
      <c r="I235" s="313"/>
      <c r="J235" s="536"/>
      <c r="K235" s="42"/>
      <c r="L235" s="50"/>
      <c r="M235" s="537"/>
      <c r="N235" s="538"/>
      <c r="O235" s="536"/>
      <c r="P235" s="536"/>
      <c r="Q235" s="547"/>
      <c r="R235" s="536"/>
      <c r="S235" s="725"/>
      <c r="T235" s="12"/>
      <c r="U235" s="536"/>
      <c r="V235" s="536"/>
      <c r="W235" s="547"/>
      <c r="X235" s="536"/>
      <c r="Y235" s="537"/>
      <c r="Z235" s="12"/>
      <c r="AA235" s="536"/>
      <c r="AB235" s="536"/>
      <c r="AC235" s="547"/>
      <c r="AD235" s="536"/>
      <c r="AE235" s="537"/>
      <c r="AF235" s="12"/>
      <c r="AG235" s="536"/>
      <c r="AH235" s="536" t="s">
        <v>93</v>
      </c>
      <c r="AI235" s="547">
        <v>1</v>
      </c>
      <c r="AJ235" s="536" t="s">
        <v>118</v>
      </c>
      <c r="AK235" s="537">
        <v>50</v>
      </c>
      <c r="AL235" s="12"/>
      <c r="AM235" s="536"/>
      <c r="AN235" s="536"/>
      <c r="AO235" s="547"/>
      <c r="AP235" s="536"/>
      <c r="AQ235" s="538"/>
      <c r="AR235" s="530"/>
    </row>
    <row r="236" spans="1:44" ht="18.75">
      <c r="A236" s="1008">
        <v>110</v>
      </c>
      <c r="B236" s="1008">
        <v>736059</v>
      </c>
      <c r="C236" s="1025" t="s">
        <v>233</v>
      </c>
      <c r="D236" s="1024">
        <v>1.66</v>
      </c>
      <c r="E236" s="1017">
        <v>14909</v>
      </c>
      <c r="F236" s="1018">
        <v>1.66</v>
      </c>
      <c r="G236" s="1017">
        <v>14909</v>
      </c>
      <c r="H236" s="1019" t="s">
        <v>60</v>
      </c>
      <c r="I236" s="971" t="s">
        <v>2713</v>
      </c>
      <c r="J236" s="1020" t="s">
        <v>114</v>
      </c>
      <c r="K236" s="53">
        <v>1.37</v>
      </c>
      <c r="L236" s="553" t="s">
        <v>17</v>
      </c>
      <c r="M236" s="1017">
        <v>12900.770759999999</v>
      </c>
      <c r="N236" s="538"/>
      <c r="O236" s="536"/>
      <c r="P236" s="536"/>
      <c r="Q236" s="547"/>
      <c r="R236" s="536"/>
      <c r="S236" s="725"/>
      <c r="T236" s="12"/>
      <c r="U236" s="536"/>
      <c r="V236" s="536"/>
      <c r="W236" s="547"/>
      <c r="X236" s="536"/>
      <c r="Y236" s="537"/>
      <c r="Z236" s="12"/>
      <c r="AA236" s="536"/>
      <c r="AB236" s="536"/>
      <c r="AC236" s="547"/>
      <c r="AD236" s="536"/>
      <c r="AE236" s="537"/>
      <c r="AF236" s="12"/>
      <c r="AG236" s="536"/>
      <c r="AH236" s="536"/>
      <c r="AI236" s="547"/>
      <c r="AJ236" s="536"/>
      <c r="AK236" s="538"/>
      <c r="AL236" s="12"/>
      <c r="AM236" s="536"/>
      <c r="AN236" s="536"/>
      <c r="AO236" s="547"/>
      <c r="AP236" s="536"/>
      <c r="AQ236" s="538"/>
      <c r="AR236" s="530"/>
    </row>
    <row r="237" spans="1:44" ht="18.75">
      <c r="A237" s="1008"/>
      <c r="B237" s="1008"/>
      <c r="C237" s="1025"/>
      <c r="D237" s="1024"/>
      <c r="E237" s="1017"/>
      <c r="F237" s="1018"/>
      <c r="G237" s="1017"/>
      <c r="H237" s="1019"/>
      <c r="I237" s="971"/>
      <c r="J237" s="1020"/>
      <c r="K237" s="54">
        <v>10860</v>
      </c>
      <c r="L237" s="43" t="s">
        <v>32</v>
      </c>
      <c r="M237" s="1017"/>
      <c r="N237" s="538"/>
      <c r="O237" s="536"/>
      <c r="P237" s="536"/>
      <c r="Q237" s="547"/>
      <c r="R237" s="536"/>
      <c r="S237" s="725"/>
      <c r="T237" s="12"/>
      <c r="U237" s="536"/>
      <c r="V237" s="536"/>
      <c r="W237" s="547"/>
      <c r="X237" s="536"/>
      <c r="Y237" s="537"/>
      <c r="Z237" s="12"/>
      <c r="AA237" s="536"/>
      <c r="AB237" s="536"/>
      <c r="AC237" s="547"/>
      <c r="AD237" s="536"/>
      <c r="AE237" s="537"/>
      <c r="AF237" s="12"/>
      <c r="AG237" s="536"/>
      <c r="AH237" s="536"/>
      <c r="AI237" s="547"/>
      <c r="AJ237" s="536"/>
      <c r="AK237" s="538"/>
      <c r="AL237" s="12"/>
      <c r="AM237" s="536"/>
      <c r="AN237" s="536"/>
      <c r="AO237" s="547"/>
      <c r="AP237" s="536"/>
      <c r="AQ237" s="538"/>
      <c r="AR237" s="530"/>
    </row>
    <row r="238" spans="1:44" ht="56.25">
      <c r="A238" s="536">
        <v>111</v>
      </c>
      <c r="B238" s="536">
        <v>749849</v>
      </c>
      <c r="C238" s="546" t="s">
        <v>234</v>
      </c>
      <c r="D238" s="547">
        <v>1.4</v>
      </c>
      <c r="E238" s="537">
        <v>19943</v>
      </c>
      <c r="F238" s="548">
        <v>1.4</v>
      </c>
      <c r="G238" s="537">
        <v>19943</v>
      </c>
      <c r="H238" s="536"/>
      <c r="I238" s="313"/>
      <c r="J238" s="536"/>
      <c r="K238" s="42"/>
      <c r="L238" s="50"/>
      <c r="M238" s="537"/>
      <c r="N238" s="538"/>
      <c r="O238" s="536"/>
      <c r="P238" s="536"/>
      <c r="Q238" s="547"/>
      <c r="R238" s="536"/>
      <c r="S238" s="725"/>
      <c r="T238" s="12"/>
      <c r="U238" s="536"/>
      <c r="V238" s="536"/>
      <c r="W238" s="547"/>
      <c r="X238" s="536"/>
      <c r="Y238" s="537"/>
      <c r="Z238" s="12"/>
      <c r="AA238" s="536"/>
      <c r="AB238" s="536" t="s">
        <v>93</v>
      </c>
      <c r="AC238" s="547">
        <v>1</v>
      </c>
      <c r="AD238" s="536" t="s">
        <v>118</v>
      </c>
      <c r="AE238" s="537">
        <v>50</v>
      </c>
      <c r="AF238" s="12"/>
      <c r="AG238" s="536"/>
      <c r="AH238" s="536"/>
      <c r="AI238" s="547"/>
      <c r="AJ238" s="536"/>
      <c r="AK238" s="538"/>
      <c r="AL238" s="12"/>
      <c r="AM238" s="536"/>
      <c r="AN238" s="536"/>
      <c r="AO238" s="547"/>
      <c r="AP238" s="536"/>
      <c r="AQ238" s="538"/>
      <c r="AR238" s="530"/>
    </row>
    <row r="239" spans="1:44" ht="56.25">
      <c r="A239" s="536">
        <v>112</v>
      </c>
      <c r="B239" s="536">
        <v>737964</v>
      </c>
      <c r="C239" s="546" t="s">
        <v>235</v>
      </c>
      <c r="D239" s="547">
        <v>1.07</v>
      </c>
      <c r="E239" s="537">
        <v>7940</v>
      </c>
      <c r="F239" s="548">
        <v>1.07</v>
      </c>
      <c r="G239" s="537">
        <v>7940</v>
      </c>
      <c r="H239" s="536"/>
      <c r="I239" s="536"/>
      <c r="J239" s="536"/>
      <c r="K239" s="47"/>
      <c r="L239" s="50"/>
      <c r="M239" s="537"/>
      <c r="N239" s="316" t="s">
        <v>2826</v>
      </c>
      <c r="O239" s="316" t="s">
        <v>2827</v>
      </c>
      <c r="P239" s="536" t="s">
        <v>120</v>
      </c>
      <c r="Q239" s="547">
        <v>1</v>
      </c>
      <c r="R239" s="536" t="s">
        <v>118</v>
      </c>
      <c r="S239" s="725">
        <v>50</v>
      </c>
      <c r="T239" s="12"/>
      <c r="U239" s="536"/>
      <c r="V239" s="536"/>
      <c r="W239" s="547"/>
      <c r="X239" s="536"/>
      <c r="Y239" s="537"/>
      <c r="Z239" s="1008"/>
      <c r="AA239" s="1008"/>
      <c r="AB239" s="536"/>
      <c r="AC239" s="47"/>
      <c r="AD239" s="50"/>
      <c r="AE239" s="537"/>
      <c r="AF239" s="12"/>
      <c r="AG239" s="536"/>
      <c r="AH239" s="536"/>
      <c r="AI239" s="547"/>
      <c r="AJ239" s="536"/>
      <c r="AK239" s="538"/>
      <c r="AL239" s="12"/>
      <c r="AM239" s="536"/>
      <c r="AN239" s="536"/>
      <c r="AO239" s="547"/>
      <c r="AP239" s="536"/>
      <c r="AQ239" s="538"/>
      <c r="AR239" s="530"/>
    </row>
    <row r="240" spans="1:44" ht="56.25">
      <c r="A240" s="536">
        <v>113</v>
      </c>
      <c r="B240" s="536">
        <v>742760</v>
      </c>
      <c r="C240" s="546" t="s">
        <v>236</v>
      </c>
      <c r="D240" s="547">
        <v>0.67</v>
      </c>
      <c r="E240" s="537">
        <v>6960</v>
      </c>
      <c r="F240" s="548">
        <v>0.67</v>
      </c>
      <c r="G240" s="537">
        <v>6960</v>
      </c>
      <c r="H240" s="536"/>
      <c r="I240" s="313"/>
      <c r="J240" s="536"/>
      <c r="K240" s="42"/>
      <c r="L240" s="50"/>
      <c r="M240" s="537"/>
      <c r="N240" s="538"/>
      <c r="O240" s="536"/>
      <c r="P240" s="536"/>
      <c r="Q240" s="547"/>
      <c r="R240" s="536"/>
      <c r="S240" s="725"/>
      <c r="T240" s="12"/>
      <c r="U240" s="536"/>
      <c r="V240" s="536"/>
      <c r="W240" s="547"/>
      <c r="X240" s="536"/>
      <c r="Y240" s="537"/>
      <c r="Z240" s="12"/>
      <c r="AA240" s="536"/>
      <c r="AB240" s="536" t="s">
        <v>93</v>
      </c>
      <c r="AC240" s="547">
        <v>1</v>
      </c>
      <c r="AD240" s="536" t="s">
        <v>118</v>
      </c>
      <c r="AE240" s="537">
        <v>50</v>
      </c>
      <c r="AF240" s="12"/>
      <c r="AG240" s="536"/>
      <c r="AH240" s="536"/>
      <c r="AI240" s="547"/>
      <c r="AJ240" s="536"/>
      <c r="AK240" s="538"/>
      <c r="AL240" s="12"/>
      <c r="AM240" s="536"/>
      <c r="AN240" s="536"/>
      <c r="AO240" s="547"/>
      <c r="AP240" s="536"/>
      <c r="AQ240" s="538"/>
      <c r="AR240" s="530"/>
    </row>
    <row r="241" spans="1:44" ht="56.25">
      <c r="A241" s="536">
        <v>114</v>
      </c>
      <c r="B241" s="536">
        <v>736033</v>
      </c>
      <c r="C241" s="546" t="s">
        <v>237</v>
      </c>
      <c r="D241" s="547">
        <v>1.43</v>
      </c>
      <c r="E241" s="537">
        <v>10992</v>
      </c>
      <c r="F241" s="548">
        <v>1.43</v>
      </c>
      <c r="G241" s="537">
        <v>10992</v>
      </c>
      <c r="H241" s="536"/>
      <c r="I241" s="313"/>
      <c r="J241" s="536"/>
      <c r="K241" s="42"/>
      <c r="L241" s="50"/>
      <c r="M241" s="537"/>
      <c r="N241" s="316" t="s">
        <v>2828</v>
      </c>
      <c r="O241" s="316" t="s">
        <v>2828</v>
      </c>
      <c r="P241" s="536" t="s">
        <v>120</v>
      </c>
      <c r="Q241" s="547">
        <v>1</v>
      </c>
      <c r="R241" s="536" t="s">
        <v>118</v>
      </c>
      <c r="S241" s="725">
        <v>250</v>
      </c>
      <c r="T241" s="12"/>
      <c r="U241" s="536"/>
      <c r="V241" s="536"/>
      <c r="W241" s="547"/>
      <c r="X241" s="536"/>
      <c r="Y241" s="537"/>
      <c r="Z241" s="12"/>
      <c r="AA241" s="536"/>
      <c r="AB241" s="536"/>
      <c r="AC241" s="547"/>
      <c r="AD241" s="536"/>
      <c r="AE241" s="537"/>
      <c r="AF241" s="12"/>
      <c r="AG241" s="536"/>
      <c r="AH241" s="536"/>
      <c r="AI241" s="547"/>
      <c r="AJ241" s="536"/>
      <c r="AK241" s="538"/>
      <c r="AL241" s="12"/>
      <c r="AM241" s="536"/>
      <c r="AN241" s="536"/>
      <c r="AO241" s="547"/>
      <c r="AP241" s="536"/>
      <c r="AQ241" s="538"/>
      <c r="AR241" s="530"/>
    </row>
    <row r="242" spans="1:44" ht="46.5" customHeight="1">
      <c r="A242" s="1008">
        <v>115</v>
      </c>
      <c r="B242" s="1008">
        <v>739009</v>
      </c>
      <c r="C242" s="1025" t="s">
        <v>238</v>
      </c>
      <c r="D242" s="1024">
        <v>0.99</v>
      </c>
      <c r="E242" s="1017">
        <v>7826</v>
      </c>
      <c r="F242" s="1018">
        <v>0.99</v>
      </c>
      <c r="G242" s="1017">
        <v>7826</v>
      </c>
      <c r="H242" s="539"/>
      <c r="I242" s="313"/>
      <c r="J242" s="536"/>
      <c r="K242" s="42"/>
      <c r="L242" s="50"/>
      <c r="M242" s="537"/>
      <c r="N242" s="1032" t="s">
        <v>2865</v>
      </c>
      <c r="O242" s="1032" t="s">
        <v>2908</v>
      </c>
      <c r="P242" s="1020" t="s">
        <v>114</v>
      </c>
      <c r="Q242" s="558">
        <v>0.50600000000000001</v>
      </c>
      <c r="R242" s="553" t="s">
        <v>17</v>
      </c>
      <c r="S242" s="1034">
        <v>5092.3900000000003</v>
      </c>
      <c r="T242" s="12"/>
      <c r="U242" s="536"/>
      <c r="V242" s="536"/>
      <c r="W242" s="547"/>
      <c r="X242" s="536"/>
      <c r="Y242" s="537"/>
      <c r="Z242" s="12"/>
      <c r="AA242" s="536"/>
      <c r="AB242" s="536"/>
      <c r="AC242" s="547"/>
      <c r="AD242" s="536"/>
      <c r="AE242" s="537"/>
      <c r="AF242" s="12"/>
      <c r="AG242" s="536"/>
      <c r="AH242" s="536"/>
      <c r="AI242" s="547"/>
      <c r="AJ242" s="536"/>
      <c r="AK242" s="538"/>
      <c r="AL242" s="12"/>
      <c r="AM242" s="536"/>
      <c r="AN242" s="536"/>
      <c r="AO242" s="547"/>
      <c r="AP242" s="536"/>
      <c r="AQ242" s="538"/>
      <c r="AR242" s="530"/>
    </row>
    <row r="243" spans="1:44" ht="46.5" customHeight="1">
      <c r="A243" s="1008"/>
      <c r="B243" s="1008"/>
      <c r="C243" s="1025"/>
      <c r="D243" s="1024"/>
      <c r="E243" s="1017"/>
      <c r="F243" s="1018"/>
      <c r="G243" s="1017"/>
      <c r="H243" s="539"/>
      <c r="I243" s="313"/>
      <c r="J243" s="536"/>
      <c r="K243" s="42"/>
      <c r="L243" s="50"/>
      <c r="M243" s="537"/>
      <c r="N243" s="1032"/>
      <c r="O243" s="1032"/>
      <c r="P243" s="1020"/>
      <c r="Q243" s="51">
        <v>4000</v>
      </c>
      <c r="R243" s="43" t="s">
        <v>32</v>
      </c>
      <c r="S243" s="1035"/>
      <c r="T243" s="12"/>
      <c r="U243" s="536"/>
      <c r="V243" s="536"/>
      <c r="W243" s="547"/>
      <c r="X243" s="536"/>
      <c r="Y243" s="537"/>
      <c r="Z243" s="12"/>
      <c r="AA243" s="536"/>
      <c r="AB243" s="536"/>
      <c r="AC243" s="547"/>
      <c r="AD243" s="536"/>
      <c r="AE243" s="537"/>
      <c r="AF243" s="12"/>
      <c r="AG243" s="536"/>
      <c r="AH243" s="536"/>
      <c r="AI243" s="547"/>
      <c r="AJ243" s="536"/>
      <c r="AK243" s="538"/>
      <c r="AL243" s="12"/>
      <c r="AM243" s="536"/>
      <c r="AN243" s="536"/>
      <c r="AO243" s="547"/>
      <c r="AP243" s="536"/>
      <c r="AQ243" s="538"/>
      <c r="AR243" s="530"/>
    </row>
    <row r="244" spans="1:44" ht="56.25">
      <c r="A244" s="536">
        <v>116</v>
      </c>
      <c r="B244" s="536">
        <v>749471</v>
      </c>
      <c r="C244" s="546" t="s">
        <v>239</v>
      </c>
      <c r="D244" s="547">
        <v>1.23</v>
      </c>
      <c r="E244" s="537">
        <v>13404</v>
      </c>
      <c r="F244" s="548">
        <v>1.23</v>
      </c>
      <c r="G244" s="537">
        <v>13404</v>
      </c>
      <c r="H244" s="539"/>
      <c r="I244" s="313"/>
      <c r="J244" s="536"/>
      <c r="K244" s="42"/>
      <c r="L244" s="50"/>
      <c r="M244" s="537"/>
      <c r="N244" s="538"/>
      <c r="O244" s="536"/>
      <c r="P244" s="536"/>
      <c r="Q244" s="547"/>
      <c r="R244" s="536"/>
      <c r="S244" s="725"/>
      <c r="T244" s="12"/>
      <c r="U244" s="536"/>
      <c r="V244" s="536"/>
      <c r="W244" s="547"/>
      <c r="X244" s="536"/>
      <c r="Y244" s="537"/>
      <c r="Z244" s="12"/>
      <c r="AA244" s="536"/>
      <c r="AB244" s="536" t="s">
        <v>93</v>
      </c>
      <c r="AC244" s="547">
        <v>1</v>
      </c>
      <c r="AD244" s="536" t="s">
        <v>118</v>
      </c>
      <c r="AE244" s="537">
        <v>50</v>
      </c>
      <c r="AF244" s="12"/>
      <c r="AG244" s="536"/>
      <c r="AH244" s="536"/>
      <c r="AI244" s="547"/>
      <c r="AJ244" s="536"/>
      <c r="AK244" s="538"/>
      <c r="AL244" s="12"/>
      <c r="AM244" s="536"/>
      <c r="AN244" s="536"/>
      <c r="AO244" s="547"/>
      <c r="AP244" s="536"/>
      <c r="AQ244" s="538"/>
      <c r="AR244" s="530"/>
    </row>
    <row r="245" spans="1:44" ht="18.75">
      <c r="A245" s="1008">
        <v>117</v>
      </c>
      <c r="B245" s="1008">
        <v>742217</v>
      </c>
      <c r="C245" s="1025" t="s">
        <v>240</v>
      </c>
      <c r="D245" s="1024">
        <v>1.5</v>
      </c>
      <c r="E245" s="1017">
        <v>15859</v>
      </c>
      <c r="F245" s="1018">
        <v>1.5</v>
      </c>
      <c r="G245" s="1017">
        <v>15859</v>
      </c>
      <c r="H245" s="1019" t="s">
        <v>60</v>
      </c>
      <c r="I245" s="971" t="s">
        <v>2726</v>
      </c>
      <c r="J245" s="1020" t="s">
        <v>114</v>
      </c>
      <c r="K245" s="558">
        <v>1.5</v>
      </c>
      <c r="L245" s="553" t="s">
        <v>17</v>
      </c>
      <c r="M245" s="1017">
        <v>18554.764749999998</v>
      </c>
      <c r="N245" s="538"/>
      <c r="O245" s="536"/>
      <c r="P245" s="536"/>
      <c r="Q245" s="547"/>
      <c r="R245" s="536"/>
      <c r="S245" s="725"/>
      <c r="T245" s="12"/>
      <c r="U245" s="536"/>
      <c r="V245" s="536"/>
      <c r="W245" s="547"/>
      <c r="X245" s="536"/>
      <c r="Y245" s="537"/>
      <c r="Z245" s="12"/>
      <c r="AA245" s="536"/>
      <c r="AB245" s="536"/>
      <c r="AC245" s="547"/>
      <c r="AD245" s="536"/>
      <c r="AE245" s="537"/>
      <c r="AF245" s="12"/>
      <c r="AG245" s="536"/>
      <c r="AH245" s="536"/>
      <c r="AI245" s="547"/>
      <c r="AJ245" s="536"/>
      <c r="AK245" s="538"/>
      <c r="AL245" s="12"/>
      <c r="AM245" s="536"/>
      <c r="AN245" s="536"/>
      <c r="AO245" s="547"/>
      <c r="AP245" s="536"/>
      <c r="AQ245" s="538"/>
      <c r="AR245" s="530"/>
    </row>
    <row r="246" spans="1:44" ht="18.75">
      <c r="A246" s="1008"/>
      <c r="B246" s="1008"/>
      <c r="C246" s="1025"/>
      <c r="D246" s="1024"/>
      <c r="E246" s="1017"/>
      <c r="F246" s="1018"/>
      <c r="G246" s="1017"/>
      <c r="H246" s="1019"/>
      <c r="I246" s="971"/>
      <c r="J246" s="1020"/>
      <c r="K246" s="51">
        <v>15859</v>
      </c>
      <c r="L246" s="43" t="s">
        <v>32</v>
      </c>
      <c r="M246" s="1017"/>
      <c r="N246" s="538"/>
      <c r="O246" s="536"/>
      <c r="P246" s="536"/>
      <c r="Q246" s="547"/>
      <c r="R246" s="536"/>
      <c r="S246" s="725"/>
      <c r="T246" s="12"/>
      <c r="U246" s="536"/>
      <c r="V246" s="536"/>
      <c r="W246" s="547"/>
      <c r="X246" s="536"/>
      <c r="Y246" s="537"/>
      <c r="Z246" s="12"/>
      <c r="AA246" s="536"/>
      <c r="AB246" s="536"/>
      <c r="AC246" s="547"/>
      <c r="AD246" s="536"/>
      <c r="AE246" s="537"/>
      <c r="AF246" s="12"/>
      <c r="AG246" s="536"/>
      <c r="AH246" s="536"/>
      <c r="AI246" s="547"/>
      <c r="AJ246" s="536"/>
      <c r="AK246" s="538"/>
      <c r="AL246" s="12"/>
      <c r="AM246" s="536"/>
      <c r="AN246" s="536"/>
      <c r="AO246" s="547"/>
      <c r="AP246" s="536"/>
      <c r="AQ246" s="538"/>
      <c r="AR246" s="530"/>
    </row>
    <row r="247" spans="1:44" ht="56.25">
      <c r="A247" s="536">
        <v>118</v>
      </c>
      <c r="B247" s="536">
        <v>735629</v>
      </c>
      <c r="C247" s="546" t="s">
        <v>241</v>
      </c>
      <c r="D247" s="547">
        <v>1.1200000000000001</v>
      </c>
      <c r="E247" s="537">
        <v>7594</v>
      </c>
      <c r="F247" s="548">
        <v>1.1200000000000001</v>
      </c>
      <c r="G247" s="537">
        <v>7594</v>
      </c>
      <c r="H247" s="536"/>
      <c r="I247" s="313"/>
      <c r="J247" s="536"/>
      <c r="K247" s="42"/>
      <c r="L247" s="50"/>
      <c r="M247" s="537"/>
      <c r="N247" s="538"/>
      <c r="O247" s="536"/>
      <c r="P247" s="536"/>
      <c r="Q247" s="547"/>
      <c r="R247" s="536"/>
      <c r="S247" s="725"/>
      <c r="T247" s="12"/>
      <c r="U247" s="536"/>
      <c r="V247" s="536"/>
      <c r="W247" s="547"/>
      <c r="X247" s="536"/>
      <c r="Y247" s="537"/>
      <c r="Z247" s="12"/>
      <c r="AA247" s="536"/>
      <c r="AB247" s="536"/>
      <c r="AC247" s="547"/>
      <c r="AD247" s="536"/>
      <c r="AE247" s="537"/>
      <c r="AF247" s="12"/>
      <c r="AG247" s="536"/>
      <c r="AH247" s="536" t="s">
        <v>93</v>
      </c>
      <c r="AI247" s="547">
        <v>1</v>
      </c>
      <c r="AJ247" s="536" t="s">
        <v>118</v>
      </c>
      <c r="AK247" s="537">
        <v>50</v>
      </c>
      <c r="AL247" s="12"/>
      <c r="AM247" s="536"/>
      <c r="AN247" s="536"/>
      <c r="AO247" s="547"/>
      <c r="AP247" s="536"/>
      <c r="AQ247" s="538"/>
      <c r="AR247" s="530"/>
    </row>
    <row r="248" spans="1:44" ht="18.75">
      <c r="A248" s="1008">
        <v>119</v>
      </c>
      <c r="B248" s="1008">
        <v>740173</v>
      </c>
      <c r="C248" s="1025" t="s">
        <v>242</v>
      </c>
      <c r="D248" s="1024">
        <v>1.85</v>
      </c>
      <c r="E248" s="1017">
        <v>20251</v>
      </c>
      <c r="F248" s="1018">
        <v>1.85</v>
      </c>
      <c r="G248" s="1017">
        <v>20251</v>
      </c>
      <c r="H248" s="536"/>
      <c r="I248" s="313"/>
      <c r="J248" s="536"/>
      <c r="K248" s="42"/>
      <c r="L248" s="50"/>
      <c r="M248" s="537"/>
      <c r="N248" s="1032" t="s">
        <v>2821</v>
      </c>
      <c r="O248" s="1032" t="s">
        <v>2812</v>
      </c>
      <c r="P248" s="1020" t="s">
        <v>114</v>
      </c>
      <c r="Q248" s="558">
        <v>0.36499999999999999</v>
      </c>
      <c r="R248" s="553" t="s">
        <v>17</v>
      </c>
      <c r="S248" s="1034">
        <v>5092.3900000000003</v>
      </c>
      <c r="T248" s="12"/>
      <c r="U248" s="536"/>
      <c r="V248" s="536"/>
      <c r="W248" s="547"/>
      <c r="X248" s="536"/>
      <c r="Y248" s="537"/>
      <c r="Z248" s="12"/>
      <c r="AA248" s="536"/>
      <c r="AB248" s="536"/>
      <c r="AC248" s="547"/>
      <c r="AD248" s="536"/>
      <c r="AE248" s="537"/>
      <c r="AF248" s="12"/>
      <c r="AG248" s="536"/>
      <c r="AH248" s="536"/>
      <c r="AI248" s="547"/>
      <c r="AJ248" s="536"/>
      <c r="AK248" s="538"/>
      <c r="AL248" s="1008"/>
      <c r="AM248" s="1008"/>
      <c r="AN248" s="536"/>
      <c r="AO248" s="47"/>
      <c r="AP248" s="50"/>
      <c r="AQ248" s="538"/>
      <c r="AR248" s="530"/>
    </row>
    <row r="249" spans="1:44" ht="18.75">
      <c r="A249" s="1008"/>
      <c r="B249" s="1008"/>
      <c r="C249" s="1025"/>
      <c r="D249" s="1024"/>
      <c r="E249" s="1017"/>
      <c r="F249" s="1018"/>
      <c r="G249" s="1017"/>
      <c r="H249" s="536"/>
      <c r="I249" s="313"/>
      <c r="J249" s="536"/>
      <c r="K249" s="42"/>
      <c r="L249" s="50"/>
      <c r="M249" s="537"/>
      <c r="N249" s="1032"/>
      <c r="O249" s="1032"/>
      <c r="P249" s="1020"/>
      <c r="Q249" s="51">
        <v>4000</v>
      </c>
      <c r="R249" s="43" t="s">
        <v>32</v>
      </c>
      <c r="S249" s="1035"/>
      <c r="T249" s="12"/>
      <c r="U249" s="536"/>
      <c r="V249" s="536"/>
      <c r="W249" s="547"/>
      <c r="X249" s="536"/>
      <c r="Y249" s="537"/>
      <c r="Z249" s="12"/>
      <c r="AA249" s="536"/>
      <c r="AB249" s="536"/>
      <c r="AC249" s="547"/>
      <c r="AD249" s="536"/>
      <c r="AE249" s="537"/>
      <c r="AF249" s="12"/>
      <c r="AG249" s="536"/>
      <c r="AH249" s="536"/>
      <c r="AI249" s="547"/>
      <c r="AJ249" s="536"/>
      <c r="AK249" s="538"/>
      <c r="AL249" s="536"/>
      <c r="AM249" s="536"/>
      <c r="AN249" s="536"/>
      <c r="AO249" s="47"/>
      <c r="AP249" s="50"/>
      <c r="AQ249" s="538"/>
      <c r="AR249" s="530"/>
    </row>
    <row r="250" spans="1:44" ht="56.25">
      <c r="A250" s="536">
        <v>120</v>
      </c>
      <c r="B250" s="536">
        <v>745264</v>
      </c>
      <c r="C250" s="546" t="s">
        <v>243</v>
      </c>
      <c r="D250" s="547">
        <v>0.77</v>
      </c>
      <c r="E250" s="537">
        <v>4073</v>
      </c>
      <c r="F250" s="548">
        <v>0.77</v>
      </c>
      <c r="G250" s="537">
        <v>4073</v>
      </c>
      <c r="H250" s="536"/>
      <c r="I250" s="313"/>
      <c r="J250" s="536"/>
      <c r="K250" s="42"/>
      <c r="L250" s="50"/>
      <c r="M250" s="537"/>
      <c r="N250" s="538"/>
      <c r="O250" s="536"/>
      <c r="P250" s="536"/>
      <c r="Q250" s="547"/>
      <c r="R250" s="536"/>
      <c r="S250" s="725"/>
      <c r="T250" s="12"/>
      <c r="U250" s="536"/>
      <c r="V250" s="536"/>
      <c r="W250" s="547"/>
      <c r="X250" s="536"/>
      <c r="Y250" s="537"/>
      <c r="Z250" s="12"/>
      <c r="AA250" s="536"/>
      <c r="AB250" s="536"/>
      <c r="AC250" s="547"/>
      <c r="AD250" s="536"/>
      <c r="AE250" s="537"/>
      <c r="AF250" s="12"/>
      <c r="AG250" s="536"/>
      <c r="AH250" s="536"/>
      <c r="AI250" s="547"/>
      <c r="AJ250" s="536"/>
      <c r="AK250" s="538"/>
      <c r="AL250" s="12"/>
      <c r="AM250" s="536"/>
      <c r="AN250" s="536" t="s">
        <v>93</v>
      </c>
      <c r="AO250" s="547">
        <v>1</v>
      </c>
      <c r="AP250" s="536" t="s">
        <v>118</v>
      </c>
      <c r="AQ250" s="537">
        <v>50</v>
      </c>
      <c r="AR250" s="530"/>
    </row>
    <row r="251" spans="1:44" ht="56.25">
      <c r="A251" s="1008">
        <v>121</v>
      </c>
      <c r="B251" s="1008">
        <v>737849</v>
      </c>
      <c r="C251" s="1025" t="s">
        <v>244</v>
      </c>
      <c r="D251" s="1024">
        <v>1.1399999999999999</v>
      </c>
      <c r="E251" s="1017">
        <v>9132</v>
      </c>
      <c r="F251" s="1018">
        <v>1.1399999999999999</v>
      </c>
      <c r="G251" s="1017">
        <v>9132</v>
      </c>
      <c r="H251" s="539"/>
      <c r="I251" s="313"/>
      <c r="J251" s="536"/>
      <c r="K251" s="42"/>
      <c r="L251" s="50"/>
      <c r="M251" s="537"/>
      <c r="N251" s="538"/>
      <c r="O251" s="536"/>
      <c r="P251" s="536"/>
      <c r="Q251" s="547"/>
      <c r="R251" s="536"/>
      <c r="S251" s="725"/>
      <c r="T251" s="12"/>
      <c r="U251" s="536"/>
      <c r="V251" s="536"/>
      <c r="W251" s="547"/>
      <c r="X251" s="536"/>
      <c r="Y251" s="537"/>
      <c r="Z251" s="957"/>
      <c r="AA251" s="1008"/>
      <c r="AB251" s="1008"/>
      <c r="AC251" s="547"/>
      <c r="AD251" s="553"/>
      <c r="AE251" s="1017"/>
      <c r="AF251" s="12"/>
      <c r="AG251" s="536"/>
      <c r="AH251" s="536"/>
      <c r="AI251" s="547"/>
      <c r="AJ251" s="536"/>
      <c r="AK251" s="538"/>
      <c r="AL251" s="12"/>
      <c r="AM251" s="536"/>
      <c r="AN251" s="536" t="s">
        <v>93</v>
      </c>
      <c r="AO251" s="547">
        <v>1</v>
      </c>
      <c r="AP251" s="536" t="s">
        <v>118</v>
      </c>
      <c r="AQ251" s="537">
        <v>50</v>
      </c>
      <c r="AR251" s="530"/>
    </row>
    <row r="252" spans="1:44" ht="18.75">
      <c r="A252" s="1008"/>
      <c r="B252" s="1008"/>
      <c r="C252" s="1025"/>
      <c r="D252" s="1024"/>
      <c r="E252" s="1017"/>
      <c r="F252" s="1018"/>
      <c r="G252" s="1017"/>
      <c r="H252" s="539"/>
      <c r="I252" s="313"/>
      <c r="J252" s="536"/>
      <c r="K252" s="42"/>
      <c r="L252" s="50"/>
      <c r="M252" s="537"/>
      <c r="N252" s="538"/>
      <c r="O252" s="536"/>
      <c r="P252" s="536"/>
      <c r="Q252" s="547"/>
      <c r="R252" s="536"/>
      <c r="S252" s="725"/>
      <c r="T252" s="12"/>
      <c r="U252" s="536"/>
      <c r="V252" s="536"/>
      <c r="W252" s="547"/>
      <c r="X252" s="536"/>
      <c r="Y252" s="537"/>
      <c r="Z252" s="957"/>
      <c r="AA252" s="1008"/>
      <c r="AB252" s="1008"/>
      <c r="AC252" s="536"/>
      <c r="AD252" s="43"/>
      <c r="AE252" s="1017"/>
      <c r="AF252" s="12"/>
      <c r="AG252" s="536"/>
      <c r="AH252" s="536"/>
      <c r="AI252" s="547"/>
      <c r="AJ252" s="536"/>
      <c r="AK252" s="538"/>
      <c r="AL252" s="12"/>
      <c r="AM252" s="536"/>
      <c r="AN252" s="536"/>
      <c r="AO252" s="547"/>
      <c r="AP252" s="536"/>
      <c r="AQ252" s="538"/>
      <c r="AR252" s="530"/>
    </row>
    <row r="253" spans="1:44" ht="37.5">
      <c r="A253" s="1008">
        <v>122</v>
      </c>
      <c r="B253" s="1008">
        <v>739578</v>
      </c>
      <c r="C253" s="1025" t="s">
        <v>2829</v>
      </c>
      <c r="D253" s="1024">
        <v>1.96</v>
      </c>
      <c r="E253" s="1017">
        <v>26419</v>
      </c>
      <c r="F253" s="1018">
        <v>1.96</v>
      </c>
      <c r="G253" s="1017">
        <v>26419</v>
      </c>
      <c r="H253" s="1019" t="s">
        <v>60</v>
      </c>
      <c r="I253" s="971" t="s">
        <v>2596</v>
      </c>
      <c r="J253" s="1020" t="s">
        <v>114</v>
      </c>
      <c r="K253" s="558">
        <v>1.0900000000000001</v>
      </c>
      <c r="L253" s="553" t="s">
        <v>17</v>
      </c>
      <c r="M253" s="1017">
        <v>10575.7353</v>
      </c>
      <c r="N253" s="538" t="s">
        <v>2830</v>
      </c>
      <c r="O253" s="538" t="s">
        <v>2831</v>
      </c>
      <c r="P253" s="536" t="s">
        <v>93</v>
      </c>
      <c r="Q253" s="547">
        <v>1</v>
      </c>
      <c r="R253" s="536" t="s">
        <v>118</v>
      </c>
      <c r="S253" s="725">
        <v>200</v>
      </c>
      <c r="T253" s="12"/>
      <c r="U253" s="536"/>
      <c r="V253" s="536"/>
      <c r="W253" s="547"/>
      <c r="X253" s="536"/>
      <c r="Y253" s="537"/>
      <c r="Z253" s="957"/>
      <c r="AA253" s="1008"/>
      <c r="AB253" s="1008"/>
      <c r="AC253" s="547"/>
      <c r="AD253" s="553"/>
      <c r="AE253" s="1017"/>
      <c r="AF253" s="12"/>
      <c r="AG253" s="536"/>
      <c r="AH253" s="536"/>
      <c r="AI253" s="547"/>
      <c r="AJ253" s="536"/>
      <c r="AK253" s="538"/>
      <c r="AL253" s="12"/>
      <c r="AM253" s="536"/>
      <c r="AN253" s="536"/>
      <c r="AO253" s="547"/>
      <c r="AP253" s="536"/>
      <c r="AQ253" s="538"/>
      <c r="AR253" s="530"/>
    </row>
    <row r="254" spans="1:44" ht="18.75">
      <c r="A254" s="1008"/>
      <c r="B254" s="1008"/>
      <c r="C254" s="1025"/>
      <c r="D254" s="1024"/>
      <c r="E254" s="1017"/>
      <c r="F254" s="1018"/>
      <c r="G254" s="1017"/>
      <c r="H254" s="1019"/>
      <c r="I254" s="971"/>
      <c r="J254" s="1020"/>
      <c r="K254" s="51">
        <v>9100</v>
      </c>
      <c r="L254" s="43" t="s">
        <v>32</v>
      </c>
      <c r="M254" s="1017"/>
      <c r="N254" s="538"/>
      <c r="O254" s="536"/>
      <c r="P254" s="536"/>
      <c r="Q254" s="547"/>
      <c r="R254" s="536"/>
      <c r="S254" s="725"/>
      <c r="T254" s="12"/>
      <c r="U254" s="536"/>
      <c r="V254" s="536"/>
      <c r="W254" s="547"/>
      <c r="X254" s="536"/>
      <c r="Y254" s="537"/>
      <c r="Z254" s="957"/>
      <c r="AA254" s="1008"/>
      <c r="AB254" s="1008"/>
      <c r="AC254" s="536"/>
      <c r="AD254" s="43"/>
      <c r="AE254" s="1017"/>
      <c r="AF254" s="12"/>
      <c r="AG254" s="536"/>
      <c r="AH254" s="536"/>
      <c r="AI254" s="547"/>
      <c r="AJ254" s="536"/>
      <c r="AK254" s="538"/>
      <c r="AL254" s="12"/>
      <c r="AM254" s="536"/>
      <c r="AN254" s="536"/>
      <c r="AO254" s="547"/>
      <c r="AP254" s="536"/>
      <c r="AQ254" s="538"/>
      <c r="AR254" s="530"/>
    </row>
    <row r="255" spans="1:44" ht="18.75">
      <c r="A255" s="1008">
        <v>123</v>
      </c>
      <c r="B255" s="1008">
        <v>738703</v>
      </c>
      <c r="C255" s="1025" t="s">
        <v>246</v>
      </c>
      <c r="D255" s="1024">
        <v>2.0699999999999998</v>
      </c>
      <c r="E255" s="1017">
        <v>17826</v>
      </c>
      <c r="F255" s="1018">
        <v>2.0699999999999998</v>
      </c>
      <c r="G255" s="1017">
        <v>17826</v>
      </c>
      <c r="H255" s="1019" t="s">
        <v>60</v>
      </c>
      <c r="I255" s="971" t="s">
        <v>2730</v>
      </c>
      <c r="J255" s="1020" t="s">
        <v>114</v>
      </c>
      <c r="K255" s="558">
        <v>1.48</v>
      </c>
      <c r="L255" s="553" t="s">
        <v>17</v>
      </c>
      <c r="M255" s="1017">
        <v>14184.343559999999</v>
      </c>
      <c r="N255" s="538"/>
      <c r="O255" s="536"/>
      <c r="P255" s="536"/>
      <c r="Q255" s="547"/>
      <c r="R255" s="536"/>
      <c r="S255" s="725"/>
      <c r="T255" s="12"/>
      <c r="U255" s="536"/>
      <c r="V255" s="536"/>
      <c r="W255" s="547"/>
      <c r="X255" s="536"/>
      <c r="Y255" s="537"/>
      <c r="Z255" s="957"/>
      <c r="AA255" s="1008"/>
      <c r="AB255" s="1008"/>
      <c r="AC255" s="547"/>
      <c r="AD255" s="553"/>
      <c r="AE255" s="1017"/>
      <c r="AF255" s="12"/>
      <c r="AG255" s="536"/>
      <c r="AH255" s="536"/>
      <c r="AI255" s="547"/>
      <c r="AJ255" s="536"/>
      <c r="AK255" s="538"/>
      <c r="AL255" s="12"/>
      <c r="AM255" s="536"/>
      <c r="AN255" s="536"/>
      <c r="AO255" s="547"/>
      <c r="AP255" s="536"/>
      <c r="AQ255" s="538"/>
      <c r="AR255" s="530"/>
    </row>
    <row r="256" spans="1:44" ht="18.75">
      <c r="A256" s="1008"/>
      <c r="B256" s="1008"/>
      <c r="C256" s="1025"/>
      <c r="D256" s="1024"/>
      <c r="E256" s="1017"/>
      <c r="F256" s="1018"/>
      <c r="G256" s="1017"/>
      <c r="H256" s="1019"/>
      <c r="I256" s="971"/>
      <c r="J256" s="1020"/>
      <c r="K256" s="51">
        <v>12035</v>
      </c>
      <c r="L256" s="43" t="s">
        <v>32</v>
      </c>
      <c r="M256" s="1017"/>
      <c r="N256" s="538"/>
      <c r="O256" s="536"/>
      <c r="P256" s="536"/>
      <c r="Q256" s="547"/>
      <c r="R256" s="536"/>
      <c r="S256" s="725"/>
      <c r="T256" s="12"/>
      <c r="U256" s="536"/>
      <c r="V256" s="536"/>
      <c r="W256" s="547"/>
      <c r="X256" s="536"/>
      <c r="Y256" s="537"/>
      <c r="Z256" s="957"/>
      <c r="AA256" s="1008"/>
      <c r="AB256" s="1008"/>
      <c r="AC256" s="536"/>
      <c r="AD256" s="43"/>
      <c r="AE256" s="1017"/>
      <c r="AF256" s="12"/>
      <c r="AG256" s="536"/>
      <c r="AH256" s="536"/>
      <c r="AI256" s="547"/>
      <c r="AJ256" s="536"/>
      <c r="AK256" s="538"/>
      <c r="AL256" s="12"/>
      <c r="AM256" s="536"/>
      <c r="AN256" s="536"/>
      <c r="AO256" s="547"/>
      <c r="AP256" s="536"/>
      <c r="AQ256" s="538"/>
      <c r="AR256" s="530"/>
    </row>
    <row r="257" spans="1:44" ht="56.25">
      <c r="A257" s="1008">
        <v>124</v>
      </c>
      <c r="B257" s="1008">
        <v>735660</v>
      </c>
      <c r="C257" s="1025" t="s">
        <v>247</v>
      </c>
      <c r="D257" s="1024">
        <v>1.1499999999999999</v>
      </c>
      <c r="E257" s="1017">
        <v>6900</v>
      </c>
      <c r="F257" s="1018">
        <v>1.1499999999999999</v>
      </c>
      <c r="G257" s="1017">
        <v>6900</v>
      </c>
      <c r="H257" s="539"/>
      <c r="I257" s="313"/>
      <c r="J257" s="536"/>
      <c r="K257" s="42"/>
      <c r="L257" s="50"/>
      <c r="M257" s="537"/>
      <c r="N257" s="49"/>
      <c r="O257" s="316"/>
      <c r="P257" s="1008"/>
      <c r="Q257" s="558"/>
      <c r="R257" s="553"/>
      <c r="S257" s="1034"/>
      <c r="T257" s="12"/>
      <c r="U257" s="536"/>
      <c r="V257" s="536"/>
      <c r="W257" s="547"/>
      <c r="X257" s="536"/>
      <c r="Y257" s="537"/>
      <c r="Z257" s="957"/>
      <c r="AA257" s="1008"/>
      <c r="AB257" s="1008"/>
      <c r="AC257" s="547"/>
      <c r="AD257" s="553"/>
      <c r="AE257" s="1017"/>
      <c r="AF257" s="12"/>
      <c r="AG257" s="536"/>
      <c r="AH257" s="536" t="s">
        <v>93</v>
      </c>
      <c r="AI257" s="547">
        <v>1</v>
      </c>
      <c r="AJ257" s="536" t="s">
        <v>118</v>
      </c>
      <c r="AK257" s="537">
        <v>50</v>
      </c>
      <c r="AL257" s="12"/>
      <c r="AM257" s="536"/>
      <c r="AN257" s="536"/>
      <c r="AO257" s="547"/>
      <c r="AP257" s="536"/>
      <c r="AQ257" s="538"/>
      <c r="AR257" s="530"/>
    </row>
    <row r="258" spans="1:44" ht="18.75">
      <c r="A258" s="1008"/>
      <c r="B258" s="1008"/>
      <c r="C258" s="1025"/>
      <c r="D258" s="1024"/>
      <c r="E258" s="1017"/>
      <c r="F258" s="1018"/>
      <c r="G258" s="1017"/>
      <c r="H258" s="539"/>
      <c r="I258" s="313"/>
      <c r="J258" s="536"/>
      <c r="K258" s="42"/>
      <c r="L258" s="50"/>
      <c r="M258" s="537"/>
      <c r="N258" s="49"/>
      <c r="O258" s="316"/>
      <c r="P258" s="1008"/>
      <c r="Q258" s="51"/>
      <c r="R258" s="43"/>
      <c r="S258" s="1035"/>
      <c r="T258" s="12"/>
      <c r="U258" s="536"/>
      <c r="V258" s="536"/>
      <c r="W258" s="547"/>
      <c r="X258" s="536"/>
      <c r="Y258" s="537"/>
      <c r="Z258" s="957"/>
      <c r="AA258" s="1008"/>
      <c r="AB258" s="1008"/>
      <c r="AC258" s="536"/>
      <c r="AD258" s="43"/>
      <c r="AE258" s="1017"/>
      <c r="AF258" s="12"/>
      <c r="AG258" s="536"/>
      <c r="AH258" s="536"/>
      <c r="AI258" s="547"/>
      <c r="AJ258" s="536"/>
      <c r="AK258" s="538"/>
      <c r="AL258" s="12"/>
      <c r="AM258" s="536"/>
      <c r="AN258" s="536"/>
      <c r="AO258" s="547"/>
      <c r="AP258" s="536"/>
      <c r="AQ258" s="538"/>
      <c r="AR258" s="530"/>
    </row>
    <row r="259" spans="1:44" ht="56.25">
      <c r="A259" s="1008">
        <v>125</v>
      </c>
      <c r="B259" s="1008">
        <v>736058</v>
      </c>
      <c r="C259" s="1025" t="s">
        <v>248</v>
      </c>
      <c r="D259" s="1024">
        <v>1.31</v>
      </c>
      <c r="E259" s="1017">
        <v>7440</v>
      </c>
      <c r="F259" s="1018">
        <v>1.31</v>
      </c>
      <c r="G259" s="1017">
        <v>7440</v>
      </c>
      <c r="H259" s="539"/>
      <c r="I259" s="313"/>
      <c r="J259" s="536"/>
      <c r="K259" s="42"/>
      <c r="L259" s="50"/>
      <c r="M259" s="537"/>
      <c r="N259" s="538"/>
      <c r="O259" s="536"/>
      <c r="P259" s="536"/>
      <c r="Q259" s="547"/>
      <c r="R259" s="536"/>
      <c r="S259" s="725"/>
      <c r="T259" s="12"/>
      <c r="U259" s="536"/>
      <c r="V259" s="536"/>
      <c r="W259" s="547"/>
      <c r="X259" s="536"/>
      <c r="Y259" s="537"/>
      <c r="Z259" s="957"/>
      <c r="AA259" s="1008"/>
      <c r="AB259" s="536" t="s">
        <v>93</v>
      </c>
      <c r="AC259" s="547">
        <v>1</v>
      </c>
      <c r="AD259" s="536" t="s">
        <v>118</v>
      </c>
      <c r="AE259" s="537">
        <v>50</v>
      </c>
      <c r="AF259" s="12"/>
      <c r="AG259" s="536"/>
      <c r="AH259" s="536"/>
      <c r="AI259" s="547"/>
      <c r="AJ259" s="536"/>
      <c r="AK259" s="538"/>
      <c r="AL259" s="12"/>
      <c r="AM259" s="536"/>
      <c r="AN259" s="536"/>
      <c r="AO259" s="547"/>
      <c r="AP259" s="536"/>
      <c r="AQ259" s="538"/>
      <c r="AR259" s="530"/>
    </row>
    <row r="260" spans="1:44" ht="18.75">
      <c r="A260" s="1008"/>
      <c r="B260" s="1008"/>
      <c r="C260" s="1025"/>
      <c r="D260" s="1024"/>
      <c r="E260" s="1017"/>
      <c r="F260" s="1018"/>
      <c r="G260" s="1017"/>
      <c r="H260" s="539"/>
      <c r="I260" s="313"/>
      <c r="J260" s="536"/>
      <c r="K260" s="42"/>
      <c r="L260" s="50"/>
      <c r="M260" s="537"/>
      <c r="N260" s="538"/>
      <c r="O260" s="536"/>
      <c r="P260" s="536"/>
      <c r="Q260" s="547"/>
      <c r="R260" s="536"/>
      <c r="S260" s="725"/>
      <c r="T260" s="12"/>
      <c r="U260" s="536"/>
      <c r="V260" s="536"/>
      <c r="W260" s="547"/>
      <c r="X260" s="536"/>
      <c r="Y260" s="537"/>
      <c r="Z260" s="957"/>
      <c r="AA260" s="1008"/>
      <c r="AB260" s="536"/>
      <c r="AC260" s="547"/>
      <c r="AD260" s="536"/>
      <c r="AE260" s="537"/>
      <c r="AF260" s="12"/>
      <c r="AG260" s="536"/>
      <c r="AH260" s="536"/>
      <c r="AI260" s="547"/>
      <c r="AJ260" s="536"/>
      <c r="AK260" s="538"/>
      <c r="AL260" s="12"/>
      <c r="AM260" s="536"/>
      <c r="AN260" s="536"/>
      <c r="AO260" s="547"/>
      <c r="AP260" s="536"/>
      <c r="AQ260" s="538"/>
      <c r="AR260" s="530"/>
    </row>
    <row r="261" spans="1:44" ht="18.75">
      <c r="A261" s="1008">
        <v>126</v>
      </c>
      <c r="B261" s="1008">
        <v>736059</v>
      </c>
      <c r="C261" s="1025" t="s">
        <v>249</v>
      </c>
      <c r="D261" s="1024">
        <v>0.95</v>
      </c>
      <c r="E261" s="1017">
        <v>8809</v>
      </c>
      <c r="F261" s="1018">
        <v>0.95</v>
      </c>
      <c r="G261" s="1017">
        <v>8809</v>
      </c>
      <c r="H261" s="1019" t="s">
        <v>60</v>
      </c>
      <c r="I261" s="971" t="s">
        <v>2584</v>
      </c>
      <c r="J261" s="1020" t="s">
        <v>114</v>
      </c>
      <c r="K261" s="53">
        <v>0.95</v>
      </c>
      <c r="L261" s="553" t="s">
        <v>17</v>
      </c>
      <c r="M261" s="1017">
        <v>9715.5578399999995</v>
      </c>
      <c r="N261" s="538"/>
      <c r="O261" s="536"/>
      <c r="P261" s="536"/>
      <c r="Q261" s="547"/>
      <c r="R261" s="536"/>
      <c r="S261" s="725"/>
      <c r="T261" s="12"/>
      <c r="U261" s="536"/>
      <c r="V261" s="536"/>
      <c r="W261" s="547"/>
      <c r="X261" s="536"/>
      <c r="Y261" s="537"/>
      <c r="Z261" s="12"/>
      <c r="AA261" s="536"/>
      <c r="AB261" s="12"/>
      <c r="AC261" s="61"/>
      <c r="AD261" s="12"/>
      <c r="AE261" s="651"/>
      <c r="AF261" s="12"/>
      <c r="AG261" s="536"/>
      <c r="AH261" s="536"/>
      <c r="AI261" s="547"/>
      <c r="AJ261" s="536"/>
      <c r="AK261" s="538"/>
      <c r="AL261" s="12"/>
      <c r="AM261" s="536"/>
      <c r="AN261" s="536"/>
      <c r="AO261" s="547"/>
      <c r="AP261" s="536"/>
      <c r="AQ261" s="538"/>
      <c r="AR261" s="530"/>
    </row>
    <row r="262" spans="1:44" ht="18.75">
      <c r="A262" s="1008"/>
      <c r="B262" s="1008"/>
      <c r="C262" s="1025"/>
      <c r="D262" s="1024"/>
      <c r="E262" s="1017"/>
      <c r="F262" s="1018"/>
      <c r="G262" s="1017"/>
      <c r="H262" s="1019"/>
      <c r="I262" s="971"/>
      <c r="J262" s="1020"/>
      <c r="K262" s="54">
        <v>8219.1</v>
      </c>
      <c r="L262" s="43" t="s">
        <v>32</v>
      </c>
      <c r="M262" s="1017"/>
      <c r="N262" s="538"/>
      <c r="O262" s="536"/>
      <c r="P262" s="536"/>
      <c r="Q262" s="547"/>
      <c r="R262" s="536"/>
      <c r="S262" s="725"/>
      <c r="T262" s="12"/>
      <c r="U262" s="536"/>
      <c r="V262" s="536"/>
      <c r="W262" s="547"/>
      <c r="X262" s="536"/>
      <c r="Y262" s="537"/>
      <c r="Z262" s="12"/>
      <c r="AA262" s="536"/>
      <c r="AB262" s="12"/>
      <c r="AC262" s="61"/>
      <c r="AD262" s="12"/>
      <c r="AE262" s="651"/>
      <c r="AF262" s="12"/>
      <c r="AG262" s="536"/>
      <c r="AH262" s="536"/>
      <c r="AI262" s="547"/>
      <c r="AJ262" s="536"/>
      <c r="AK262" s="538"/>
      <c r="AL262" s="12"/>
      <c r="AM262" s="536"/>
      <c r="AN262" s="536"/>
      <c r="AO262" s="547"/>
      <c r="AP262" s="536"/>
      <c r="AQ262" s="538"/>
      <c r="AR262" s="530"/>
    </row>
    <row r="263" spans="1:44" ht="56.25">
      <c r="A263" s="1008">
        <v>127</v>
      </c>
      <c r="B263" s="1008">
        <v>736263</v>
      </c>
      <c r="C263" s="1025" t="s">
        <v>250</v>
      </c>
      <c r="D263" s="1024">
        <v>1.1000000000000001</v>
      </c>
      <c r="E263" s="1017">
        <v>7820</v>
      </c>
      <c r="F263" s="1018">
        <v>1.1000000000000001</v>
      </c>
      <c r="G263" s="1017">
        <v>7820</v>
      </c>
      <c r="H263" s="539"/>
      <c r="I263" s="313"/>
      <c r="J263" s="536"/>
      <c r="K263" s="42"/>
      <c r="L263" s="50"/>
      <c r="M263" s="537"/>
      <c r="N263" s="538"/>
      <c r="O263" s="536"/>
      <c r="P263" s="536"/>
      <c r="Q263" s="547"/>
      <c r="R263" s="536"/>
      <c r="S263" s="725"/>
      <c r="T263" s="12"/>
      <c r="U263" s="536"/>
      <c r="V263" s="536"/>
      <c r="W263" s="547"/>
      <c r="X263" s="536"/>
      <c r="Y263" s="537"/>
      <c r="Z263" s="957"/>
      <c r="AA263" s="1008"/>
      <c r="AB263" s="1008"/>
      <c r="AC263" s="547"/>
      <c r="AD263" s="553"/>
      <c r="AE263" s="1017"/>
      <c r="AF263" s="12"/>
      <c r="AG263" s="536"/>
      <c r="AH263" s="536" t="s">
        <v>93</v>
      </c>
      <c r="AI263" s="547">
        <v>1</v>
      </c>
      <c r="AJ263" s="536" t="s">
        <v>118</v>
      </c>
      <c r="AK263" s="537">
        <v>50</v>
      </c>
      <c r="AL263" s="12"/>
      <c r="AM263" s="536"/>
      <c r="AN263" s="536"/>
      <c r="AO263" s="547"/>
      <c r="AP263" s="536"/>
      <c r="AQ263" s="538"/>
      <c r="AR263" s="530"/>
    </row>
    <row r="264" spans="1:44" ht="18.75">
      <c r="A264" s="1008"/>
      <c r="B264" s="1008"/>
      <c r="C264" s="1025"/>
      <c r="D264" s="1024"/>
      <c r="E264" s="1017"/>
      <c r="F264" s="1018"/>
      <c r="G264" s="1017"/>
      <c r="H264" s="539"/>
      <c r="I264" s="313"/>
      <c r="J264" s="536"/>
      <c r="K264" s="42"/>
      <c r="L264" s="50"/>
      <c r="M264" s="537"/>
      <c r="N264" s="538"/>
      <c r="O264" s="536"/>
      <c r="P264" s="536"/>
      <c r="Q264" s="547"/>
      <c r="R264" s="536"/>
      <c r="S264" s="725"/>
      <c r="T264" s="12"/>
      <c r="U264" s="536"/>
      <c r="V264" s="536"/>
      <c r="W264" s="547"/>
      <c r="X264" s="536"/>
      <c r="Y264" s="537"/>
      <c r="Z264" s="957"/>
      <c r="AA264" s="1008"/>
      <c r="AB264" s="1008"/>
      <c r="AC264" s="536"/>
      <c r="AD264" s="43"/>
      <c r="AE264" s="1017"/>
      <c r="AF264" s="12"/>
      <c r="AG264" s="536"/>
      <c r="AH264" s="536"/>
      <c r="AI264" s="547"/>
      <c r="AJ264" s="536"/>
      <c r="AK264" s="538"/>
      <c r="AL264" s="12"/>
      <c r="AM264" s="536"/>
      <c r="AN264" s="536"/>
      <c r="AO264" s="547"/>
      <c r="AP264" s="536"/>
      <c r="AQ264" s="538"/>
      <c r="AR264" s="530"/>
    </row>
    <row r="265" spans="1:44" ht="18.75">
      <c r="A265" s="1008">
        <v>128</v>
      </c>
      <c r="B265" s="1008">
        <v>742757</v>
      </c>
      <c r="C265" s="1025" t="s">
        <v>251</v>
      </c>
      <c r="D265" s="1024">
        <v>0.7</v>
      </c>
      <c r="E265" s="1017">
        <v>4282</v>
      </c>
      <c r="F265" s="1018">
        <v>0.7</v>
      </c>
      <c r="G265" s="1017">
        <v>4282</v>
      </c>
      <c r="H265" s="1019" t="s">
        <v>60</v>
      </c>
      <c r="I265" s="971" t="s">
        <v>2728</v>
      </c>
      <c r="J265" s="1020" t="s">
        <v>114</v>
      </c>
      <c r="K265" s="53">
        <v>0.7</v>
      </c>
      <c r="L265" s="553" t="s">
        <v>17</v>
      </c>
      <c r="M265" s="1017">
        <v>5729.6953199999998</v>
      </c>
      <c r="N265" s="538"/>
      <c r="O265" s="536"/>
      <c r="P265" s="536"/>
      <c r="Q265" s="547"/>
      <c r="R265" s="536"/>
      <c r="S265" s="725"/>
      <c r="T265" s="12"/>
      <c r="U265" s="536"/>
      <c r="V265" s="536"/>
      <c r="W265" s="547"/>
      <c r="X265" s="536"/>
      <c r="Y265" s="537"/>
      <c r="Z265" s="12"/>
      <c r="AA265" s="536"/>
      <c r="AB265" s="536"/>
      <c r="AC265" s="547"/>
      <c r="AD265" s="536"/>
      <c r="AE265" s="537"/>
      <c r="AF265" s="12"/>
      <c r="AG265" s="536"/>
      <c r="AH265" s="536"/>
      <c r="AI265" s="547"/>
      <c r="AJ265" s="536"/>
      <c r="AK265" s="538"/>
      <c r="AL265" s="12"/>
      <c r="AM265" s="536"/>
      <c r="AN265" s="536"/>
      <c r="AO265" s="547"/>
      <c r="AP265" s="536"/>
      <c r="AQ265" s="538"/>
      <c r="AR265" s="530"/>
    </row>
    <row r="266" spans="1:44" ht="18.75">
      <c r="A266" s="1008"/>
      <c r="B266" s="1008"/>
      <c r="C266" s="1025"/>
      <c r="D266" s="1024"/>
      <c r="E266" s="1017"/>
      <c r="F266" s="1018"/>
      <c r="G266" s="1017"/>
      <c r="H266" s="1019"/>
      <c r="I266" s="971"/>
      <c r="J266" s="1020"/>
      <c r="K266" s="54">
        <v>4438</v>
      </c>
      <c r="L266" s="43" t="s">
        <v>32</v>
      </c>
      <c r="M266" s="1017"/>
      <c r="N266" s="538"/>
      <c r="O266" s="536"/>
      <c r="P266" s="536"/>
      <c r="Q266" s="547"/>
      <c r="R266" s="536"/>
      <c r="S266" s="725"/>
      <c r="T266" s="12"/>
      <c r="U266" s="536"/>
      <c r="V266" s="536"/>
      <c r="W266" s="547"/>
      <c r="X266" s="536"/>
      <c r="Y266" s="537"/>
      <c r="Z266" s="12"/>
      <c r="AA266" s="536"/>
      <c r="AB266" s="536"/>
      <c r="AC266" s="547"/>
      <c r="AD266" s="536"/>
      <c r="AE266" s="537"/>
      <c r="AF266" s="12"/>
      <c r="AG266" s="536"/>
      <c r="AH266" s="536"/>
      <c r="AI266" s="547"/>
      <c r="AJ266" s="536"/>
      <c r="AK266" s="538"/>
      <c r="AL266" s="12"/>
      <c r="AM266" s="536"/>
      <c r="AN266" s="536"/>
      <c r="AO266" s="547"/>
      <c r="AP266" s="536"/>
      <c r="AQ266" s="538"/>
      <c r="AR266" s="530"/>
    </row>
    <row r="267" spans="1:44" ht="18.75">
      <c r="A267" s="1008">
        <v>129</v>
      </c>
      <c r="B267" s="1008">
        <v>744953</v>
      </c>
      <c r="C267" s="1025" t="s">
        <v>252</v>
      </c>
      <c r="D267" s="1024">
        <v>1.42</v>
      </c>
      <c r="E267" s="1017">
        <v>11201</v>
      </c>
      <c r="F267" s="1018">
        <v>1.42</v>
      </c>
      <c r="G267" s="1017">
        <v>11201</v>
      </c>
      <c r="H267" s="1019" t="s">
        <v>2720</v>
      </c>
      <c r="I267" s="971" t="s">
        <v>2731</v>
      </c>
      <c r="J267" s="1020" t="s">
        <v>114</v>
      </c>
      <c r="K267" s="53">
        <v>0.62</v>
      </c>
      <c r="L267" s="553" t="s">
        <v>17</v>
      </c>
      <c r="M267" s="1017">
        <v>5666.4692400000004</v>
      </c>
      <c r="N267" s="538"/>
      <c r="O267" s="536"/>
      <c r="P267" s="536"/>
      <c r="Q267" s="547"/>
      <c r="R267" s="536"/>
      <c r="S267" s="725"/>
      <c r="T267" s="12"/>
      <c r="U267" s="536"/>
      <c r="V267" s="536"/>
      <c r="W267" s="547"/>
      <c r="X267" s="536"/>
      <c r="Y267" s="537"/>
      <c r="Z267" s="12"/>
      <c r="AA267" s="536"/>
      <c r="AB267" s="536"/>
      <c r="AC267" s="547"/>
      <c r="AD267" s="536"/>
      <c r="AE267" s="537"/>
      <c r="AF267" s="12"/>
      <c r="AG267" s="536"/>
      <c r="AH267" s="536"/>
      <c r="AI267" s="547"/>
      <c r="AJ267" s="536"/>
      <c r="AK267" s="538"/>
      <c r="AL267" s="12"/>
      <c r="AM267" s="536"/>
      <c r="AN267" s="536"/>
      <c r="AO267" s="547"/>
      <c r="AP267" s="536"/>
      <c r="AQ267" s="538"/>
      <c r="AR267" s="530"/>
    </row>
    <row r="268" spans="1:44" ht="18.75">
      <c r="A268" s="1008"/>
      <c r="B268" s="1008"/>
      <c r="C268" s="1025"/>
      <c r="D268" s="1024"/>
      <c r="E268" s="1017"/>
      <c r="F268" s="1018"/>
      <c r="G268" s="1017"/>
      <c r="H268" s="1019"/>
      <c r="I268" s="971"/>
      <c r="J268" s="1020"/>
      <c r="K268" s="54">
        <v>4895</v>
      </c>
      <c r="L268" s="43" t="s">
        <v>32</v>
      </c>
      <c r="M268" s="1017"/>
      <c r="N268" s="538"/>
      <c r="O268" s="536"/>
      <c r="P268" s="536"/>
      <c r="Q268" s="547"/>
      <c r="R268" s="536"/>
      <c r="S268" s="725"/>
      <c r="T268" s="12"/>
      <c r="U268" s="536"/>
      <c r="V268" s="536"/>
      <c r="W268" s="547"/>
      <c r="X268" s="536"/>
      <c r="Y268" s="537"/>
      <c r="Z268" s="12"/>
      <c r="AA268" s="536"/>
      <c r="AB268" s="536"/>
      <c r="AC268" s="547"/>
      <c r="AD268" s="536"/>
      <c r="AE268" s="537"/>
      <c r="AF268" s="12"/>
      <c r="AG268" s="536"/>
      <c r="AH268" s="536"/>
      <c r="AI268" s="547"/>
      <c r="AJ268" s="536"/>
      <c r="AK268" s="538"/>
      <c r="AL268" s="12"/>
      <c r="AM268" s="536"/>
      <c r="AN268" s="536"/>
      <c r="AO268" s="547"/>
      <c r="AP268" s="536"/>
      <c r="AQ268" s="538"/>
      <c r="AR268" s="530"/>
    </row>
    <row r="269" spans="1:44" ht="18.75">
      <c r="A269" s="1008"/>
      <c r="B269" s="1008"/>
      <c r="C269" s="1025"/>
      <c r="D269" s="1024"/>
      <c r="E269" s="1017"/>
      <c r="F269" s="1018"/>
      <c r="G269" s="1017"/>
      <c r="H269" s="1019" t="s">
        <v>60</v>
      </c>
      <c r="I269" s="971" t="s">
        <v>2720</v>
      </c>
      <c r="J269" s="1020" t="s">
        <v>114</v>
      </c>
      <c r="K269" s="53">
        <v>0.8</v>
      </c>
      <c r="L269" s="553" t="s">
        <v>17</v>
      </c>
      <c r="M269" s="1017">
        <v>7307.6877100000002</v>
      </c>
      <c r="N269" s="538"/>
      <c r="O269" s="536"/>
      <c r="P269" s="536"/>
      <c r="Q269" s="547"/>
      <c r="R269" s="536"/>
      <c r="S269" s="725"/>
      <c r="T269" s="12"/>
      <c r="U269" s="536"/>
      <c r="V269" s="536"/>
      <c r="W269" s="547"/>
      <c r="X269" s="536"/>
      <c r="Y269" s="537"/>
      <c r="Z269" s="12"/>
      <c r="AA269" s="536"/>
      <c r="AB269" s="536"/>
      <c r="AC269" s="547"/>
      <c r="AD269" s="536"/>
      <c r="AE269" s="537"/>
      <c r="AF269" s="12"/>
      <c r="AG269" s="536"/>
      <c r="AH269" s="536"/>
      <c r="AI269" s="547"/>
      <c r="AJ269" s="536"/>
      <c r="AK269" s="538"/>
      <c r="AL269" s="12"/>
      <c r="AM269" s="536"/>
      <c r="AN269" s="536"/>
      <c r="AO269" s="547"/>
      <c r="AP269" s="536"/>
      <c r="AQ269" s="538"/>
      <c r="AR269" s="530"/>
    </row>
    <row r="270" spans="1:44" ht="18.75">
      <c r="A270" s="1008"/>
      <c r="B270" s="1008"/>
      <c r="C270" s="1025"/>
      <c r="D270" s="1024"/>
      <c r="E270" s="1017"/>
      <c r="F270" s="1018"/>
      <c r="G270" s="1017"/>
      <c r="H270" s="1019"/>
      <c r="I270" s="971"/>
      <c r="J270" s="1020"/>
      <c r="K270" s="54">
        <v>6305</v>
      </c>
      <c r="L270" s="43" t="s">
        <v>32</v>
      </c>
      <c r="M270" s="1017"/>
      <c r="N270" s="538"/>
      <c r="O270" s="536"/>
      <c r="P270" s="536"/>
      <c r="Q270" s="547"/>
      <c r="R270" s="536"/>
      <c r="S270" s="725"/>
      <c r="T270" s="12"/>
      <c r="U270" s="536"/>
      <c r="V270" s="536"/>
      <c r="W270" s="547"/>
      <c r="X270" s="536"/>
      <c r="Y270" s="537"/>
      <c r="Z270" s="12"/>
      <c r="AA270" s="536"/>
      <c r="AB270" s="536"/>
      <c r="AC270" s="547"/>
      <c r="AD270" s="536"/>
      <c r="AE270" s="537"/>
      <c r="AF270" s="12"/>
      <c r="AG270" s="536"/>
      <c r="AH270" s="536"/>
      <c r="AI270" s="547"/>
      <c r="AJ270" s="536"/>
      <c r="AK270" s="538"/>
      <c r="AL270" s="12"/>
      <c r="AM270" s="536"/>
      <c r="AN270" s="536"/>
      <c r="AO270" s="547"/>
      <c r="AP270" s="536"/>
      <c r="AQ270" s="538"/>
      <c r="AR270" s="530"/>
    </row>
    <row r="271" spans="1:44" ht="56.25">
      <c r="A271" s="536">
        <v>130</v>
      </c>
      <c r="B271" s="536">
        <v>737498</v>
      </c>
      <c r="C271" s="546" t="s">
        <v>253</v>
      </c>
      <c r="D271" s="547">
        <v>1.28</v>
      </c>
      <c r="E271" s="537">
        <v>9252</v>
      </c>
      <c r="F271" s="548">
        <v>1.28</v>
      </c>
      <c r="G271" s="537">
        <v>9252</v>
      </c>
      <c r="H271" s="539"/>
      <c r="I271" s="313"/>
      <c r="J271" s="536"/>
      <c r="K271" s="42"/>
      <c r="L271" s="50"/>
      <c r="M271" s="537"/>
      <c r="N271" s="538"/>
      <c r="O271" s="536"/>
      <c r="P271" s="536"/>
      <c r="Q271" s="547"/>
      <c r="R271" s="536"/>
      <c r="S271" s="725"/>
      <c r="T271" s="12"/>
      <c r="U271" s="536"/>
      <c r="V271" s="536"/>
      <c r="W271" s="547"/>
      <c r="X271" s="536"/>
      <c r="Y271" s="537"/>
      <c r="Z271" s="12"/>
      <c r="AA271" s="536"/>
      <c r="AB271" s="536"/>
      <c r="AC271" s="547"/>
      <c r="AD271" s="536"/>
      <c r="AE271" s="537"/>
      <c r="AF271" s="12"/>
      <c r="AG271" s="536"/>
      <c r="AH271" s="536" t="s">
        <v>93</v>
      </c>
      <c r="AI271" s="547">
        <v>1</v>
      </c>
      <c r="AJ271" s="536" t="s">
        <v>118</v>
      </c>
      <c r="AK271" s="537">
        <v>50</v>
      </c>
      <c r="AL271" s="12"/>
      <c r="AM271" s="536"/>
      <c r="AN271" s="536"/>
      <c r="AO271" s="547"/>
      <c r="AP271" s="536"/>
      <c r="AQ271" s="538"/>
      <c r="AR271" s="530"/>
    </row>
    <row r="272" spans="1:44" ht="56.25">
      <c r="A272" s="1008">
        <v>131</v>
      </c>
      <c r="B272" s="1008">
        <v>742358</v>
      </c>
      <c r="C272" s="1025" t="s">
        <v>254</v>
      </c>
      <c r="D272" s="1024">
        <v>1.27</v>
      </c>
      <c r="E272" s="1017">
        <v>8140</v>
      </c>
      <c r="F272" s="1018">
        <v>1.27</v>
      </c>
      <c r="G272" s="1017">
        <v>8140</v>
      </c>
      <c r="H272" s="539"/>
      <c r="I272" s="313"/>
      <c r="J272" s="1045"/>
      <c r="K272" s="53"/>
      <c r="L272" s="553"/>
      <c r="M272" s="1017"/>
      <c r="N272" s="538"/>
      <c r="O272" s="536"/>
      <c r="P272" s="536"/>
      <c r="Q272" s="547"/>
      <c r="R272" s="536"/>
      <c r="S272" s="725"/>
      <c r="T272" s="12"/>
      <c r="U272" s="536"/>
      <c r="V272" s="536"/>
      <c r="W272" s="547"/>
      <c r="X272" s="536"/>
      <c r="Y272" s="537"/>
      <c r="Z272" s="12"/>
      <c r="AA272" s="536"/>
      <c r="AB272" s="536"/>
      <c r="AC272" s="547"/>
      <c r="AD272" s="536"/>
      <c r="AE272" s="537"/>
      <c r="AF272" s="12"/>
      <c r="AG272" s="536"/>
      <c r="AH272" s="536"/>
      <c r="AI272" s="547"/>
      <c r="AJ272" s="536"/>
      <c r="AK272" s="538"/>
      <c r="AL272" s="12"/>
      <c r="AM272" s="536"/>
      <c r="AN272" s="536" t="s">
        <v>93</v>
      </c>
      <c r="AO272" s="547">
        <v>1</v>
      </c>
      <c r="AP272" s="536" t="s">
        <v>118</v>
      </c>
      <c r="AQ272" s="537">
        <v>50</v>
      </c>
      <c r="AR272" s="530"/>
    </row>
    <row r="273" spans="1:44" ht="18.75">
      <c r="A273" s="1008"/>
      <c r="B273" s="1008"/>
      <c r="C273" s="1025"/>
      <c r="D273" s="1024"/>
      <c r="E273" s="1017"/>
      <c r="F273" s="1018"/>
      <c r="G273" s="1017"/>
      <c r="H273" s="539"/>
      <c r="I273" s="313"/>
      <c r="J273" s="1045"/>
      <c r="K273" s="54"/>
      <c r="L273" s="43"/>
      <c r="M273" s="1017"/>
      <c r="N273" s="538"/>
      <c r="O273" s="536"/>
      <c r="P273" s="536"/>
      <c r="Q273" s="547"/>
      <c r="R273" s="536"/>
      <c r="S273" s="725"/>
      <c r="T273" s="12"/>
      <c r="U273" s="536"/>
      <c r="V273" s="536"/>
      <c r="W273" s="547"/>
      <c r="X273" s="536"/>
      <c r="Y273" s="537"/>
      <c r="Z273" s="12"/>
      <c r="AA273" s="536"/>
      <c r="AB273" s="536"/>
      <c r="AC273" s="547"/>
      <c r="AD273" s="536"/>
      <c r="AE273" s="537"/>
      <c r="AF273" s="12"/>
      <c r="AG273" s="536"/>
      <c r="AH273" s="536"/>
      <c r="AI273" s="547"/>
      <c r="AJ273" s="536"/>
      <c r="AK273" s="538"/>
      <c r="AL273" s="12"/>
      <c r="AM273" s="536"/>
      <c r="AN273" s="536"/>
      <c r="AO273" s="547"/>
      <c r="AP273" s="536"/>
      <c r="AQ273" s="538"/>
      <c r="AR273" s="530"/>
    </row>
    <row r="274" spans="1:44" ht="18.75">
      <c r="A274" s="1008">
        <v>132</v>
      </c>
      <c r="B274" s="1008">
        <v>735123</v>
      </c>
      <c r="C274" s="1025" t="s">
        <v>255</v>
      </c>
      <c r="D274" s="1024">
        <v>1.35</v>
      </c>
      <c r="E274" s="1017">
        <v>8753</v>
      </c>
      <c r="F274" s="1018">
        <v>1.35</v>
      </c>
      <c r="G274" s="1017">
        <v>8753</v>
      </c>
      <c r="H274" s="1019" t="s">
        <v>60</v>
      </c>
      <c r="I274" s="971" t="s">
        <v>2595</v>
      </c>
      <c r="J274" s="1020" t="s">
        <v>114</v>
      </c>
      <c r="K274" s="558">
        <v>1.35</v>
      </c>
      <c r="L274" s="553" t="s">
        <v>17</v>
      </c>
      <c r="M274" s="1017">
        <v>14401.135560000001</v>
      </c>
      <c r="N274" s="538"/>
      <c r="O274" s="536"/>
      <c r="P274" s="536"/>
      <c r="Q274" s="547"/>
      <c r="R274" s="536"/>
      <c r="S274" s="725"/>
      <c r="T274" s="12"/>
      <c r="U274" s="536"/>
      <c r="V274" s="536"/>
      <c r="W274" s="547"/>
      <c r="X274" s="536"/>
      <c r="Y274" s="537"/>
      <c r="Z274" s="12"/>
      <c r="AA274" s="536"/>
      <c r="AB274" s="536"/>
      <c r="AC274" s="547"/>
      <c r="AD274" s="536"/>
      <c r="AE274" s="537"/>
      <c r="AF274" s="12"/>
      <c r="AG274" s="536"/>
      <c r="AH274" s="536"/>
      <c r="AI274" s="547"/>
      <c r="AJ274" s="536"/>
      <c r="AK274" s="538"/>
      <c r="AL274" s="12"/>
      <c r="AM274" s="536"/>
      <c r="AN274" s="536"/>
      <c r="AO274" s="547"/>
      <c r="AP274" s="536"/>
      <c r="AQ274" s="538"/>
      <c r="AR274" s="530"/>
    </row>
    <row r="275" spans="1:44" ht="18.75">
      <c r="A275" s="1008"/>
      <c r="B275" s="1008"/>
      <c r="C275" s="1025"/>
      <c r="D275" s="1024"/>
      <c r="E275" s="1017"/>
      <c r="F275" s="1018"/>
      <c r="G275" s="1017"/>
      <c r="H275" s="1019"/>
      <c r="I275" s="971"/>
      <c r="J275" s="1020"/>
      <c r="K275" s="51">
        <v>12283</v>
      </c>
      <c r="L275" s="43" t="s">
        <v>32</v>
      </c>
      <c r="M275" s="1017"/>
      <c r="N275" s="538"/>
      <c r="O275" s="536"/>
      <c r="P275" s="536"/>
      <c r="Q275" s="547"/>
      <c r="R275" s="536"/>
      <c r="S275" s="725"/>
      <c r="T275" s="12"/>
      <c r="U275" s="536"/>
      <c r="V275" s="536"/>
      <c r="W275" s="547"/>
      <c r="X275" s="536"/>
      <c r="Y275" s="537"/>
      <c r="Z275" s="12"/>
      <c r="AA275" s="536"/>
      <c r="AB275" s="536"/>
      <c r="AC275" s="547"/>
      <c r="AD275" s="536"/>
      <c r="AE275" s="537"/>
      <c r="AF275" s="12"/>
      <c r="AG275" s="536"/>
      <c r="AH275" s="536"/>
      <c r="AI275" s="547"/>
      <c r="AJ275" s="536"/>
      <c r="AK275" s="538"/>
      <c r="AL275" s="12"/>
      <c r="AM275" s="536"/>
      <c r="AN275" s="536"/>
      <c r="AO275" s="547"/>
      <c r="AP275" s="536"/>
      <c r="AQ275" s="538"/>
      <c r="AR275" s="530"/>
    </row>
    <row r="276" spans="1:44" ht="18.75">
      <c r="A276" s="1008">
        <v>133</v>
      </c>
      <c r="B276" s="1008">
        <v>736506</v>
      </c>
      <c r="C276" s="1025" t="s">
        <v>256</v>
      </c>
      <c r="D276" s="1024">
        <v>1.65</v>
      </c>
      <c r="E276" s="1017">
        <v>13754</v>
      </c>
      <c r="F276" s="1018">
        <v>1.6419999999999999</v>
      </c>
      <c r="G276" s="1017">
        <v>13754</v>
      </c>
      <c r="H276" s="1019" t="s">
        <v>60</v>
      </c>
      <c r="I276" s="971" t="s">
        <v>2732</v>
      </c>
      <c r="J276" s="1020" t="s">
        <v>114</v>
      </c>
      <c r="K276" s="558">
        <v>1.302</v>
      </c>
      <c r="L276" s="553" t="s">
        <v>17</v>
      </c>
      <c r="M276" s="1017">
        <v>15747.0209</v>
      </c>
      <c r="N276" s="538"/>
      <c r="O276" s="536"/>
      <c r="P276" s="536"/>
      <c r="Q276" s="547"/>
      <c r="R276" s="536"/>
      <c r="S276" s="725"/>
      <c r="T276" s="12"/>
      <c r="U276" s="536"/>
      <c r="V276" s="536"/>
      <c r="W276" s="547"/>
      <c r="X276" s="536"/>
      <c r="Y276" s="537"/>
      <c r="Z276" s="12"/>
      <c r="AA276" s="536"/>
      <c r="AB276" s="536"/>
      <c r="AC276" s="547"/>
      <c r="AD276" s="536"/>
      <c r="AE276" s="537"/>
      <c r="AF276" s="12"/>
      <c r="AG276" s="536"/>
      <c r="AH276" s="536"/>
      <c r="AI276" s="547"/>
      <c r="AJ276" s="536"/>
      <c r="AK276" s="538"/>
      <c r="AL276" s="12"/>
      <c r="AM276" s="536"/>
      <c r="AN276" s="536"/>
      <c r="AO276" s="547"/>
      <c r="AP276" s="536"/>
      <c r="AQ276" s="538"/>
      <c r="AR276" s="530"/>
    </row>
    <row r="277" spans="1:44" ht="18.75">
      <c r="A277" s="1008"/>
      <c r="B277" s="1008"/>
      <c r="C277" s="1025"/>
      <c r="D277" s="1024"/>
      <c r="E277" s="1017"/>
      <c r="F277" s="1018"/>
      <c r="G277" s="1017"/>
      <c r="H277" s="1019"/>
      <c r="I277" s="971"/>
      <c r="J277" s="1020"/>
      <c r="K277" s="51">
        <v>13754</v>
      </c>
      <c r="L277" s="43" t="s">
        <v>32</v>
      </c>
      <c r="M277" s="1017"/>
      <c r="N277" s="538"/>
      <c r="O277" s="536"/>
      <c r="P277" s="536"/>
      <c r="Q277" s="547"/>
      <c r="R277" s="536"/>
      <c r="S277" s="725"/>
      <c r="T277" s="12"/>
      <c r="U277" s="536"/>
      <c r="V277" s="536"/>
      <c r="W277" s="547"/>
      <c r="X277" s="536"/>
      <c r="Y277" s="537"/>
      <c r="Z277" s="12"/>
      <c r="AA277" s="536"/>
      <c r="AB277" s="536"/>
      <c r="AC277" s="547"/>
      <c r="AD277" s="536"/>
      <c r="AE277" s="537"/>
      <c r="AF277" s="12"/>
      <c r="AG277" s="536"/>
      <c r="AH277" s="536"/>
      <c r="AI277" s="547"/>
      <c r="AJ277" s="536"/>
      <c r="AK277" s="538"/>
      <c r="AL277" s="12"/>
      <c r="AM277" s="536"/>
      <c r="AN277" s="536"/>
      <c r="AO277" s="547"/>
      <c r="AP277" s="536"/>
      <c r="AQ277" s="538"/>
      <c r="AR277" s="530"/>
    </row>
    <row r="278" spans="1:44" ht="18.75">
      <c r="A278" s="1008">
        <v>134</v>
      </c>
      <c r="B278" s="1008">
        <v>742217</v>
      </c>
      <c r="C278" s="1025" t="s">
        <v>257</v>
      </c>
      <c r="D278" s="1024">
        <v>0.92</v>
      </c>
      <c r="E278" s="1017">
        <v>6001</v>
      </c>
      <c r="F278" s="1018">
        <v>0.92</v>
      </c>
      <c r="G278" s="1017">
        <v>6001</v>
      </c>
      <c r="H278" s="1019" t="s">
        <v>60</v>
      </c>
      <c r="I278" s="971" t="s">
        <v>2733</v>
      </c>
      <c r="J278" s="1020" t="s">
        <v>114</v>
      </c>
      <c r="K278" s="558">
        <v>0.92</v>
      </c>
      <c r="L278" s="553" t="s">
        <v>17</v>
      </c>
      <c r="M278" s="1017">
        <v>7768.5499799999998</v>
      </c>
      <c r="N278" s="538"/>
      <c r="O278" s="536"/>
      <c r="P278" s="536"/>
      <c r="Q278" s="547"/>
      <c r="R278" s="536"/>
      <c r="S278" s="725"/>
      <c r="T278" s="12"/>
      <c r="U278" s="536"/>
      <c r="V278" s="536"/>
      <c r="W278" s="547"/>
      <c r="X278" s="536"/>
      <c r="Y278" s="537"/>
      <c r="Z278" s="12"/>
      <c r="AA278" s="536"/>
      <c r="AB278" s="536"/>
      <c r="AC278" s="547"/>
      <c r="AD278" s="536"/>
      <c r="AE278" s="537"/>
      <c r="AF278" s="12"/>
      <c r="AG278" s="536"/>
      <c r="AH278" s="536"/>
      <c r="AI278" s="547"/>
      <c r="AJ278" s="536"/>
      <c r="AK278" s="538"/>
      <c r="AL278" s="12"/>
      <c r="AM278" s="536"/>
      <c r="AN278" s="536"/>
      <c r="AO278" s="547"/>
      <c r="AP278" s="536"/>
      <c r="AQ278" s="538"/>
      <c r="AR278" s="530"/>
    </row>
    <row r="279" spans="1:44" ht="18.75">
      <c r="A279" s="1008"/>
      <c r="B279" s="1008"/>
      <c r="C279" s="1025"/>
      <c r="D279" s="1024"/>
      <c r="E279" s="1017"/>
      <c r="F279" s="1018"/>
      <c r="G279" s="1017"/>
      <c r="H279" s="1019"/>
      <c r="I279" s="971"/>
      <c r="J279" s="1020"/>
      <c r="K279" s="51">
        <v>6601</v>
      </c>
      <c r="L279" s="43" t="s">
        <v>32</v>
      </c>
      <c r="M279" s="1017"/>
      <c r="N279" s="538"/>
      <c r="O279" s="536"/>
      <c r="P279" s="536"/>
      <c r="Q279" s="547"/>
      <c r="R279" s="536"/>
      <c r="S279" s="725"/>
      <c r="T279" s="12"/>
      <c r="U279" s="536"/>
      <c r="V279" s="536"/>
      <c r="W279" s="547"/>
      <c r="X279" s="536"/>
      <c r="Y279" s="537"/>
      <c r="Z279" s="12"/>
      <c r="AA279" s="536"/>
      <c r="AB279" s="536"/>
      <c r="AC279" s="547"/>
      <c r="AD279" s="536"/>
      <c r="AE279" s="537"/>
      <c r="AF279" s="12"/>
      <c r="AG279" s="536"/>
      <c r="AH279" s="536"/>
      <c r="AI279" s="547"/>
      <c r="AJ279" s="536"/>
      <c r="AK279" s="538"/>
      <c r="AL279" s="12"/>
      <c r="AM279" s="536"/>
      <c r="AN279" s="536"/>
      <c r="AO279" s="547"/>
      <c r="AP279" s="536"/>
      <c r="AQ279" s="538"/>
      <c r="AR279" s="530"/>
    </row>
    <row r="280" spans="1:44" ht="18.75">
      <c r="A280" s="1008">
        <v>135</v>
      </c>
      <c r="B280" s="1008">
        <v>737440</v>
      </c>
      <c r="C280" s="1025" t="s">
        <v>258</v>
      </c>
      <c r="D280" s="1024">
        <v>0.45</v>
      </c>
      <c r="E280" s="1017">
        <v>3408</v>
      </c>
      <c r="F280" s="1018">
        <v>0.45</v>
      </c>
      <c r="G280" s="1017">
        <v>3408</v>
      </c>
      <c r="H280" s="1019" t="s">
        <v>60</v>
      </c>
      <c r="I280" s="971" t="s">
        <v>2726</v>
      </c>
      <c r="J280" s="1020" t="s">
        <v>114</v>
      </c>
      <c r="K280" s="558">
        <v>0.45</v>
      </c>
      <c r="L280" s="553" t="s">
        <v>17</v>
      </c>
      <c r="M280" s="1017">
        <v>4491.9781199999998</v>
      </c>
      <c r="N280" s="538"/>
      <c r="O280" s="536"/>
      <c r="P280" s="536"/>
      <c r="Q280" s="547"/>
      <c r="R280" s="536"/>
      <c r="S280" s="725"/>
      <c r="T280" s="12"/>
      <c r="U280" s="536"/>
      <c r="V280" s="536"/>
      <c r="W280" s="547"/>
      <c r="X280" s="536"/>
      <c r="Y280" s="537"/>
      <c r="Z280" s="12"/>
      <c r="AA280" s="536"/>
      <c r="AB280" s="536"/>
      <c r="AC280" s="547"/>
      <c r="AD280" s="536"/>
      <c r="AE280" s="537"/>
      <c r="AF280" s="12"/>
      <c r="AG280" s="536"/>
      <c r="AH280" s="536"/>
      <c r="AI280" s="547"/>
      <c r="AJ280" s="536"/>
      <c r="AK280" s="538"/>
      <c r="AL280" s="12"/>
      <c r="AM280" s="536"/>
      <c r="AN280" s="536"/>
      <c r="AO280" s="547"/>
      <c r="AP280" s="536"/>
      <c r="AQ280" s="538"/>
      <c r="AR280" s="530"/>
    </row>
    <row r="281" spans="1:44" ht="18.75">
      <c r="A281" s="1008"/>
      <c r="B281" s="1008"/>
      <c r="C281" s="1025"/>
      <c r="D281" s="1024"/>
      <c r="E281" s="1017"/>
      <c r="F281" s="1018"/>
      <c r="G281" s="1017"/>
      <c r="H281" s="1019"/>
      <c r="I281" s="971"/>
      <c r="J281" s="1020"/>
      <c r="K281" s="51">
        <v>3408</v>
      </c>
      <c r="L281" s="43" t="s">
        <v>32</v>
      </c>
      <c r="M281" s="1017"/>
      <c r="N281" s="538"/>
      <c r="O281" s="536"/>
      <c r="P281" s="536"/>
      <c r="Q281" s="547"/>
      <c r="R281" s="536"/>
      <c r="S281" s="725"/>
      <c r="T281" s="12"/>
      <c r="U281" s="536"/>
      <c r="V281" s="536"/>
      <c r="W281" s="547"/>
      <c r="X281" s="536"/>
      <c r="Y281" s="537"/>
      <c r="Z281" s="12"/>
      <c r="AA281" s="536"/>
      <c r="AB281" s="536"/>
      <c r="AC281" s="547"/>
      <c r="AD281" s="536"/>
      <c r="AE281" s="537"/>
      <c r="AF281" s="12"/>
      <c r="AG281" s="536"/>
      <c r="AH281" s="536"/>
      <c r="AI281" s="547"/>
      <c r="AJ281" s="536"/>
      <c r="AK281" s="538"/>
      <c r="AL281" s="12"/>
      <c r="AM281" s="536"/>
      <c r="AN281" s="536"/>
      <c r="AO281" s="547"/>
      <c r="AP281" s="536"/>
      <c r="AQ281" s="538"/>
      <c r="AR281" s="530"/>
    </row>
    <row r="282" spans="1:44" ht="18.75">
      <c r="A282" s="1008">
        <v>136</v>
      </c>
      <c r="B282" s="1008">
        <v>739499</v>
      </c>
      <c r="C282" s="1025" t="s">
        <v>260</v>
      </c>
      <c r="D282" s="1024">
        <v>0.17</v>
      </c>
      <c r="E282" s="1017">
        <v>3030</v>
      </c>
      <c r="F282" s="1018">
        <v>0.17</v>
      </c>
      <c r="G282" s="1017">
        <v>3030</v>
      </c>
      <c r="H282" s="1019" t="s">
        <v>60</v>
      </c>
      <c r="I282" s="971" t="s">
        <v>2598</v>
      </c>
      <c r="J282" s="1020" t="s">
        <v>114</v>
      </c>
      <c r="K282" s="558">
        <v>0.17</v>
      </c>
      <c r="L282" s="553" t="s">
        <v>17</v>
      </c>
      <c r="M282" s="1017">
        <v>3293.4469199999999</v>
      </c>
      <c r="N282" s="538"/>
      <c r="O282" s="536"/>
      <c r="P282" s="536"/>
      <c r="Q282" s="547"/>
      <c r="R282" s="536"/>
      <c r="S282" s="725"/>
      <c r="T282" s="12"/>
      <c r="U282" s="536"/>
      <c r="V282" s="536"/>
      <c r="W282" s="547"/>
      <c r="X282" s="536"/>
      <c r="Y282" s="537"/>
      <c r="Z282" s="12"/>
      <c r="AA282" s="536"/>
      <c r="AB282" s="536"/>
      <c r="AC282" s="547"/>
      <c r="AD282" s="536"/>
      <c r="AE282" s="537"/>
      <c r="AF282" s="12"/>
      <c r="AG282" s="536"/>
      <c r="AH282" s="536"/>
      <c r="AI282" s="547"/>
      <c r="AJ282" s="536"/>
      <c r="AK282" s="538"/>
      <c r="AL282" s="12"/>
      <c r="AM282" s="536"/>
      <c r="AN282" s="536"/>
      <c r="AO282" s="547"/>
      <c r="AP282" s="536"/>
      <c r="AQ282" s="538"/>
      <c r="AR282" s="530"/>
    </row>
    <row r="283" spans="1:44" ht="18.75">
      <c r="A283" s="1008"/>
      <c r="B283" s="1008"/>
      <c r="C283" s="1025"/>
      <c r="D283" s="1024"/>
      <c r="E283" s="1017"/>
      <c r="F283" s="1018"/>
      <c r="G283" s="1017"/>
      <c r="H283" s="1019"/>
      <c r="I283" s="971"/>
      <c r="J283" s="1020"/>
      <c r="K283" s="51">
        <v>2833</v>
      </c>
      <c r="L283" s="43" t="s">
        <v>32</v>
      </c>
      <c r="M283" s="1017"/>
      <c r="N283" s="538"/>
      <c r="O283" s="536"/>
      <c r="P283" s="536"/>
      <c r="Q283" s="547"/>
      <c r="R283" s="536"/>
      <c r="S283" s="725"/>
      <c r="T283" s="12"/>
      <c r="U283" s="536"/>
      <c r="V283" s="536"/>
      <c r="W283" s="547"/>
      <c r="X283" s="536"/>
      <c r="Y283" s="537"/>
      <c r="Z283" s="12"/>
      <c r="AA283" s="536"/>
      <c r="AB283" s="536"/>
      <c r="AC283" s="547"/>
      <c r="AD283" s="536"/>
      <c r="AE283" s="537"/>
      <c r="AF283" s="12"/>
      <c r="AG283" s="536"/>
      <c r="AH283" s="536"/>
      <c r="AI283" s="547"/>
      <c r="AJ283" s="536"/>
      <c r="AK283" s="538"/>
      <c r="AL283" s="12"/>
      <c r="AM283" s="536"/>
      <c r="AN283" s="536"/>
      <c r="AO283" s="547"/>
      <c r="AP283" s="536"/>
      <c r="AQ283" s="538"/>
      <c r="AR283" s="530"/>
    </row>
    <row r="284" spans="1:44" ht="49.5" customHeight="1">
      <c r="A284" s="1008">
        <v>137</v>
      </c>
      <c r="B284" s="1008">
        <v>739444</v>
      </c>
      <c r="C284" s="1025" t="s">
        <v>2832</v>
      </c>
      <c r="D284" s="1024">
        <v>1.7</v>
      </c>
      <c r="E284" s="1017">
        <v>11900</v>
      </c>
      <c r="F284" s="1018">
        <v>1.7</v>
      </c>
      <c r="G284" s="1017">
        <v>11900</v>
      </c>
      <c r="H284" s="1019" t="s">
        <v>60</v>
      </c>
      <c r="I284" s="1019" t="s">
        <v>2768</v>
      </c>
      <c r="J284" s="1020" t="s">
        <v>114</v>
      </c>
      <c r="K284" s="558">
        <v>1.7</v>
      </c>
      <c r="L284" s="553" t="s">
        <v>17</v>
      </c>
      <c r="M284" s="1017">
        <f>14441.9445+1470.54585</f>
        <v>15912.49035</v>
      </c>
      <c r="N284" s="319"/>
      <c r="O284" s="319"/>
      <c r="P284" s="1028"/>
      <c r="Q284" s="1029"/>
      <c r="R284" s="1029"/>
      <c r="S284" s="1046"/>
      <c r="T284" s="12"/>
      <c r="U284" s="536"/>
      <c r="V284" s="536"/>
      <c r="W284" s="547"/>
      <c r="X284" s="536"/>
      <c r="Y284" s="537"/>
      <c r="Z284" s="12"/>
      <c r="AA284" s="536"/>
      <c r="AB284" s="536"/>
      <c r="AC284" s="547"/>
      <c r="AD284" s="536"/>
      <c r="AE284" s="537"/>
      <c r="AF284" s="12"/>
      <c r="AG284" s="536"/>
      <c r="AH284" s="536"/>
      <c r="AI284" s="547"/>
      <c r="AJ284" s="536"/>
      <c r="AK284" s="538"/>
      <c r="AL284" s="12"/>
      <c r="AM284" s="536"/>
      <c r="AN284" s="536"/>
      <c r="AO284" s="547"/>
      <c r="AP284" s="536"/>
      <c r="AQ284" s="538"/>
      <c r="AR284" s="530"/>
    </row>
    <row r="285" spans="1:44" ht="49.5" customHeight="1">
      <c r="A285" s="1008"/>
      <c r="B285" s="1008"/>
      <c r="C285" s="1025"/>
      <c r="D285" s="1024"/>
      <c r="E285" s="1017"/>
      <c r="F285" s="1018"/>
      <c r="G285" s="1017"/>
      <c r="H285" s="1019"/>
      <c r="I285" s="1019"/>
      <c r="J285" s="1020"/>
      <c r="K285" s="51">
        <f>11900+1350</f>
        <v>13250</v>
      </c>
      <c r="L285" s="43" t="s">
        <v>32</v>
      </c>
      <c r="M285" s="1017"/>
      <c r="N285" s="319"/>
      <c r="O285" s="319"/>
      <c r="P285" s="1028"/>
      <c r="Q285" s="1029"/>
      <c r="R285" s="1029"/>
      <c r="S285" s="1047"/>
      <c r="T285" s="12"/>
      <c r="U285" s="536"/>
      <c r="V285" s="536"/>
      <c r="W285" s="547"/>
      <c r="X285" s="536"/>
      <c r="Y285" s="537"/>
      <c r="Z285" s="12"/>
      <c r="AA285" s="536"/>
      <c r="AB285" s="536"/>
      <c r="AC285" s="547"/>
      <c r="AD285" s="536"/>
      <c r="AE285" s="537"/>
      <c r="AF285" s="12"/>
      <c r="AG285" s="536"/>
      <c r="AH285" s="536"/>
      <c r="AI285" s="547"/>
      <c r="AJ285" s="536"/>
      <c r="AK285" s="538"/>
      <c r="AL285" s="12"/>
      <c r="AM285" s="536"/>
      <c r="AN285" s="536"/>
      <c r="AO285" s="547"/>
      <c r="AP285" s="536"/>
      <c r="AQ285" s="538"/>
      <c r="AR285" s="530"/>
    </row>
    <row r="286" spans="1:44" ht="18.75" customHeight="1">
      <c r="A286" s="1008">
        <v>138</v>
      </c>
      <c r="B286" s="1008">
        <v>739415</v>
      </c>
      <c r="C286" s="1025" t="s">
        <v>262</v>
      </c>
      <c r="D286" s="1048">
        <v>0.53100000000000003</v>
      </c>
      <c r="E286" s="1017">
        <v>5338</v>
      </c>
      <c r="F286" s="1049">
        <v>0.53100000000000003</v>
      </c>
      <c r="G286" s="1017">
        <v>5338</v>
      </c>
      <c r="H286" s="1019" t="s">
        <v>60</v>
      </c>
      <c r="I286" s="1019" t="s">
        <v>2713</v>
      </c>
      <c r="J286" s="1020" t="s">
        <v>114</v>
      </c>
      <c r="K286" s="558">
        <v>0.4</v>
      </c>
      <c r="L286" s="553" t="s">
        <v>17</v>
      </c>
      <c r="M286" s="1017">
        <v>4875.4777199999999</v>
      </c>
      <c r="N286" s="538"/>
      <c r="O286" s="536"/>
      <c r="P286" s="536"/>
      <c r="Q286" s="547"/>
      <c r="R286" s="536"/>
      <c r="S286" s="725"/>
      <c r="T286" s="12"/>
      <c r="U286" s="536"/>
      <c r="V286" s="536"/>
      <c r="W286" s="547"/>
      <c r="X286" s="536"/>
      <c r="Y286" s="537"/>
      <c r="Z286" s="12"/>
      <c r="AA286" s="536"/>
      <c r="AB286" s="536"/>
      <c r="AC286" s="547"/>
      <c r="AD286" s="536"/>
      <c r="AE286" s="537"/>
      <c r="AF286" s="12"/>
      <c r="AG286" s="536"/>
      <c r="AH286" s="536"/>
      <c r="AI286" s="547"/>
      <c r="AJ286" s="536"/>
      <c r="AK286" s="538"/>
      <c r="AL286" s="12"/>
      <c r="AM286" s="536"/>
      <c r="AN286" s="536"/>
      <c r="AO286" s="547"/>
      <c r="AP286" s="536"/>
      <c r="AQ286" s="538"/>
      <c r="AR286" s="530"/>
    </row>
    <row r="287" spans="1:44" ht="18.75">
      <c r="A287" s="1008"/>
      <c r="B287" s="1008"/>
      <c r="C287" s="1025"/>
      <c r="D287" s="1048"/>
      <c r="E287" s="1017"/>
      <c r="F287" s="1049"/>
      <c r="G287" s="1017"/>
      <c r="H287" s="1019"/>
      <c r="I287" s="1019"/>
      <c r="J287" s="1020"/>
      <c r="K287" s="51">
        <v>3990</v>
      </c>
      <c r="L287" s="43" t="s">
        <v>32</v>
      </c>
      <c r="M287" s="1017"/>
      <c r="N287" s="538"/>
      <c r="O287" s="536"/>
      <c r="P287" s="536"/>
      <c r="Q287" s="547"/>
      <c r="R287" s="536"/>
      <c r="S287" s="725"/>
      <c r="T287" s="12"/>
      <c r="U287" s="536"/>
      <c r="V287" s="536"/>
      <c r="W287" s="547"/>
      <c r="X287" s="536"/>
      <c r="Y287" s="537"/>
      <c r="Z287" s="12"/>
      <c r="AA287" s="536"/>
      <c r="AB287" s="536"/>
      <c r="AC287" s="547"/>
      <c r="AD287" s="536"/>
      <c r="AE287" s="537"/>
      <c r="AF287" s="12"/>
      <c r="AG287" s="536"/>
      <c r="AH287" s="536"/>
      <c r="AI287" s="547"/>
      <c r="AJ287" s="536"/>
      <c r="AK287" s="538"/>
      <c r="AL287" s="12"/>
      <c r="AM287" s="536"/>
      <c r="AN287" s="536"/>
      <c r="AO287" s="547"/>
      <c r="AP287" s="536"/>
      <c r="AQ287" s="538"/>
      <c r="AR287" s="530"/>
    </row>
    <row r="288" spans="1:44" ht="56.25">
      <c r="A288" s="536">
        <v>139</v>
      </c>
      <c r="B288" s="536">
        <v>749485</v>
      </c>
      <c r="C288" s="546" t="s">
        <v>263</v>
      </c>
      <c r="D288" s="547">
        <v>0.37</v>
      </c>
      <c r="E288" s="537">
        <v>2798</v>
      </c>
      <c r="F288" s="548">
        <v>0.37</v>
      </c>
      <c r="G288" s="537">
        <v>2798</v>
      </c>
      <c r="H288" s="539"/>
      <c r="I288" s="539"/>
      <c r="J288" s="536"/>
      <c r="K288" s="47"/>
      <c r="L288" s="52"/>
      <c r="M288" s="537"/>
      <c r="N288" s="538"/>
      <c r="O288" s="536"/>
      <c r="P288" s="536"/>
      <c r="Q288" s="547"/>
      <c r="R288" s="536"/>
      <c r="S288" s="725"/>
      <c r="T288" s="12"/>
      <c r="U288" s="536"/>
      <c r="V288" s="536"/>
      <c r="W288" s="547"/>
      <c r="X288" s="536"/>
      <c r="Y288" s="537"/>
      <c r="Z288" s="12"/>
      <c r="AA288" s="536"/>
      <c r="AB288" s="536" t="s">
        <v>93</v>
      </c>
      <c r="AC288" s="547">
        <v>1</v>
      </c>
      <c r="AD288" s="536" t="s">
        <v>118</v>
      </c>
      <c r="AE288" s="537">
        <v>50</v>
      </c>
      <c r="AF288" s="12"/>
      <c r="AG288" s="536"/>
      <c r="AH288" s="536"/>
      <c r="AI288" s="547"/>
      <c r="AJ288" s="536"/>
      <c r="AK288" s="538"/>
      <c r="AL288" s="12"/>
      <c r="AM288" s="536"/>
      <c r="AN288" s="536"/>
      <c r="AO288" s="547"/>
      <c r="AP288" s="536"/>
      <c r="AQ288" s="538"/>
      <c r="AR288" s="530"/>
    </row>
    <row r="289" spans="1:44" ht="56.25">
      <c r="A289" s="536">
        <v>140</v>
      </c>
      <c r="B289" s="536">
        <v>739758</v>
      </c>
      <c r="C289" s="546" t="s">
        <v>264</v>
      </c>
      <c r="D289" s="547">
        <v>0.18</v>
      </c>
      <c r="E289" s="537">
        <v>648</v>
      </c>
      <c r="F289" s="548">
        <v>0.18</v>
      </c>
      <c r="G289" s="537">
        <v>648</v>
      </c>
      <c r="H289" s="536"/>
      <c r="I289" s="312"/>
      <c r="J289" s="536"/>
      <c r="K289" s="42"/>
      <c r="L289" s="50"/>
      <c r="M289" s="537"/>
      <c r="N289" s="538"/>
      <c r="O289" s="536"/>
      <c r="P289" s="536"/>
      <c r="Q289" s="547"/>
      <c r="R289" s="536"/>
      <c r="S289" s="725"/>
      <c r="T289" s="12"/>
      <c r="U289" s="536"/>
      <c r="V289" s="536"/>
      <c r="W289" s="547"/>
      <c r="X289" s="536"/>
      <c r="Y289" s="537"/>
      <c r="Z289" s="12"/>
      <c r="AA289" s="536"/>
      <c r="AB289" s="536"/>
      <c r="AC289" s="547"/>
      <c r="AD289" s="536"/>
      <c r="AE289" s="537"/>
      <c r="AF289" s="12"/>
      <c r="AG289" s="536"/>
      <c r="AH289" s="536" t="s">
        <v>93</v>
      </c>
      <c r="AI289" s="547">
        <v>1</v>
      </c>
      <c r="AJ289" s="536" t="s">
        <v>118</v>
      </c>
      <c r="AK289" s="537">
        <v>50</v>
      </c>
      <c r="AL289" s="12"/>
      <c r="AM289" s="536"/>
      <c r="AN289" s="536"/>
      <c r="AO289" s="547"/>
      <c r="AP289" s="536"/>
      <c r="AQ289" s="538"/>
      <c r="AR289" s="530"/>
    </row>
    <row r="290" spans="1:44" ht="18.75">
      <c r="A290" s="1008">
        <v>141</v>
      </c>
      <c r="B290" s="1008">
        <v>738682</v>
      </c>
      <c r="C290" s="1025" t="s">
        <v>265</v>
      </c>
      <c r="D290" s="1024">
        <v>0.46</v>
      </c>
      <c r="E290" s="1017">
        <v>4331</v>
      </c>
      <c r="F290" s="1018">
        <v>0.46</v>
      </c>
      <c r="G290" s="1017">
        <v>4331</v>
      </c>
      <c r="H290" s="1019" t="s">
        <v>60</v>
      </c>
      <c r="I290" s="971" t="s">
        <v>2726</v>
      </c>
      <c r="J290" s="1020" t="s">
        <v>114</v>
      </c>
      <c r="K290" s="558">
        <v>0.46</v>
      </c>
      <c r="L290" s="553" t="s">
        <v>17</v>
      </c>
      <c r="M290" s="1017">
        <f>3238.13007+1611.58785</f>
        <v>4849.71792</v>
      </c>
      <c r="N290" s="538"/>
      <c r="O290" s="536"/>
      <c r="P290" s="536"/>
      <c r="Q290" s="547"/>
      <c r="R290" s="536"/>
      <c r="S290" s="725"/>
      <c r="T290" s="12"/>
      <c r="U290" s="536"/>
      <c r="V290" s="536"/>
      <c r="W290" s="547"/>
      <c r="X290" s="536"/>
      <c r="Y290" s="537"/>
      <c r="Z290" s="12"/>
      <c r="AA290" s="536"/>
      <c r="AB290" s="536"/>
      <c r="AC290" s="547"/>
      <c r="AD290" s="536"/>
      <c r="AE290" s="537"/>
      <c r="AF290" s="12"/>
      <c r="AG290" s="536"/>
      <c r="AH290" s="536"/>
      <c r="AI290" s="547"/>
      <c r="AJ290" s="536"/>
      <c r="AK290" s="538"/>
      <c r="AL290" s="12"/>
      <c r="AM290" s="536"/>
      <c r="AN290" s="536"/>
      <c r="AO290" s="547"/>
      <c r="AP290" s="536"/>
      <c r="AQ290" s="538"/>
      <c r="AR290" s="530"/>
    </row>
    <row r="291" spans="1:44" ht="18.75">
      <c r="A291" s="1008"/>
      <c r="B291" s="1008"/>
      <c r="C291" s="1025"/>
      <c r="D291" s="1024"/>
      <c r="E291" s="1017"/>
      <c r="F291" s="1018"/>
      <c r="G291" s="1017"/>
      <c r="H291" s="1019"/>
      <c r="I291" s="971"/>
      <c r="J291" s="1020"/>
      <c r="K291" s="51">
        <f>2781+1550</f>
        <v>4331</v>
      </c>
      <c r="L291" s="43" t="s">
        <v>32</v>
      </c>
      <c r="M291" s="1017"/>
      <c r="N291" s="538"/>
      <c r="O291" s="536"/>
      <c r="P291" s="536"/>
      <c r="Q291" s="547"/>
      <c r="R291" s="536"/>
      <c r="S291" s="725"/>
      <c r="T291" s="12"/>
      <c r="U291" s="536"/>
      <c r="V291" s="536"/>
      <c r="W291" s="547"/>
      <c r="X291" s="536"/>
      <c r="Y291" s="537"/>
      <c r="Z291" s="12"/>
      <c r="AA291" s="536"/>
      <c r="AB291" s="536"/>
      <c r="AC291" s="547"/>
      <c r="AD291" s="536"/>
      <c r="AE291" s="537"/>
      <c r="AF291" s="12"/>
      <c r="AG291" s="536"/>
      <c r="AH291" s="536"/>
      <c r="AI291" s="547"/>
      <c r="AJ291" s="536"/>
      <c r="AK291" s="538"/>
      <c r="AL291" s="12"/>
      <c r="AM291" s="536"/>
      <c r="AN291" s="536"/>
      <c r="AO291" s="547"/>
      <c r="AP291" s="536"/>
      <c r="AQ291" s="538"/>
      <c r="AR291" s="530"/>
    </row>
    <row r="292" spans="1:44" ht="27" customHeight="1">
      <c r="A292" s="1008">
        <v>142</v>
      </c>
      <c r="B292" s="1008">
        <v>737964</v>
      </c>
      <c r="C292" s="1025" t="s">
        <v>266</v>
      </c>
      <c r="D292" s="1024">
        <v>4.72</v>
      </c>
      <c r="E292" s="1017">
        <v>33815</v>
      </c>
      <c r="F292" s="1018">
        <v>4.72</v>
      </c>
      <c r="G292" s="1017">
        <v>33815</v>
      </c>
      <c r="H292" s="1019" t="s">
        <v>2734</v>
      </c>
      <c r="I292" s="971" t="s">
        <v>2735</v>
      </c>
      <c r="J292" s="1020" t="s">
        <v>114</v>
      </c>
      <c r="K292" s="558">
        <v>0.67</v>
      </c>
      <c r="L292" s="553" t="s">
        <v>17</v>
      </c>
      <c r="M292" s="1017">
        <v>18889.339980000001</v>
      </c>
      <c r="N292" s="538"/>
      <c r="O292" s="536"/>
      <c r="P292" s="536"/>
      <c r="Q292" s="547"/>
      <c r="R292" s="536"/>
      <c r="S292" s="725"/>
      <c r="T292" s="1024" t="s">
        <v>60</v>
      </c>
      <c r="U292" s="1017" t="s">
        <v>2552</v>
      </c>
      <c r="V292" s="1020" t="s">
        <v>114</v>
      </c>
      <c r="W292" s="507">
        <v>4</v>
      </c>
      <c r="X292" s="518" t="s">
        <v>17</v>
      </c>
      <c r="Y292" s="900">
        <v>27728</v>
      </c>
      <c r="Z292" s="12"/>
      <c r="AA292" s="536"/>
      <c r="AB292" s="536"/>
      <c r="AC292" s="547"/>
      <c r="AD292" s="536"/>
      <c r="AE292" s="537"/>
      <c r="AF292" s="12"/>
      <c r="AG292" s="536"/>
      <c r="AH292" s="536"/>
      <c r="AI292" s="547"/>
      <c r="AJ292" s="536"/>
      <c r="AK292" s="538"/>
      <c r="AL292" s="12"/>
      <c r="AM292" s="536"/>
      <c r="AN292" s="536"/>
      <c r="AO292" s="547"/>
      <c r="AP292" s="536"/>
      <c r="AQ292" s="538"/>
      <c r="AR292" s="530"/>
    </row>
    <row r="293" spans="1:44" ht="27" customHeight="1">
      <c r="A293" s="1008"/>
      <c r="B293" s="1008"/>
      <c r="C293" s="1025"/>
      <c r="D293" s="1024"/>
      <c r="E293" s="1017"/>
      <c r="F293" s="1018"/>
      <c r="G293" s="1017"/>
      <c r="H293" s="1019"/>
      <c r="I293" s="971"/>
      <c r="J293" s="1020"/>
      <c r="K293" s="51">
        <v>16245</v>
      </c>
      <c r="L293" s="43" t="s">
        <v>32</v>
      </c>
      <c r="M293" s="1017"/>
      <c r="N293" s="538"/>
      <c r="O293" s="536"/>
      <c r="P293" s="536"/>
      <c r="Q293" s="547"/>
      <c r="R293" s="536"/>
      <c r="S293" s="725"/>
      <c r="T293" s="1024"/>
      <c r="U293" s="1017"/>
      <c r="V293" s="1020"/>
      <c r="W293" s="507">
        <v>33815</v>
      </c>
      <c r="X293" s="507" t="s">
        <v>32</v>
      </c>
      <c r="Y293" s="900"/>
      <c r="Z293" s="12"/>
      <c r="AA293" s="536"/>
      <c r="AB293" s="536"/>
      <c r="AC293" s="547"/>
      <c r="AD293" s="536"/>
      <c r="AE293" s="537"/>
      <c r="AF293" s="12"/>
      <c r="AG293" s="536"/>
      <c r="AH293" s="536"/>
      <c r="AI293" s="547"/>
      <c r="AJ293" s="536"/>
      <c r="AK293" s="538"/>
      <c r="AL293" s="12"/>
      <c r="AM293" s="536"/>
      <c r="AN293" s="536"/>
      <c r="AO293" s="547"/>
      <c r="AP293" s="536"/>
      <c r="AQ293" s="538"/>
      <c r="AR293" s="530"/>
    </row>
    <row r="294" spans="1:44" ht="56.25">
      <c r="A294" s="1008">
        <v>143</v>
      </c>
      <c r="B294" s="1008">
        <v>2795167</v>
      </c>
      <c r="C294" s="1008" t="s">
        <v>267</v>
      </c>
      <c r="D294" s="1024">
        <v>7.3</v>
      </c>
      <c r="E294" s="1017">
        <v>50400</v>
      </c>
      <c r="F294" s="1018">
        <v>7.3</v>
      </c>
      <c r="G294" s="1017">
        <v>50400</v>
      </c>
      <c r="H294" s="539"/>
      <c r="I294" s="312"/>
      <c r="J294" s="536"/>
      <c r="K294" s="42"/>
      <c r="L294" s="50"/>
      <c r="M294" s="537"/>
      <c r="N294" s="49"/>
      <c r="O294" s="316"/>
      <c r="P294" s="1008"/>
      <c r="Q294" s="558"/>
      <c r="R294" s="553"/>
      <c r="S294" s="1034"/>
      <c r="T294" s="12"/>
      <c r="U294" s="536"/>
      <c r="V294" s="536"/>
      <c r="W294" s="547"/>
      <c r="X294" s="536"/>
      <c r="Y294" s="537"/>
      <c r="Z294" s="12"/>
      <c r="AA294" s="536"/>
      <c r="AB294" s="536"/>
      <c r="AC294" s="547"/>
      <c r="AD294" s="536"/>
      <c r="AE294" s="537"/>
      <c r="AF294" s="12"/>
      <c r="AG294" s="536"/>
      <c r="AH294" s="536"/>
      <c r="AI294" s="547"/>
      <c r="AJ294" s="536"/>
      <c r="AK294" s="538"/>
      <c r="AL294" s="12"/>
      <c r="AM294" s="536"/>
      <c r="AN294" s="536" t="s">
        <v>93</v>
      </c>
      <c r="AO294" s="547">
        <v>1</v>
      </c>
      <c r="AP294" s="536" t="s">
        <v>118</v>
      </c>
      <c r="AQ294" s="537">
        <v>50</v>
      </c>
      <c r="AR294" s="530"/>
    </row>
    <row r="295" spans="1:44" ht="18.75">
      <c r="A295" s="1008"/>
      <c r="B295" s="1008"/>
      <c r="C295" s="1008"/>
      <c r="D295" s="1024"/>
      <c r="E295" s="1017"/>
      <c r="F295" s="1018"/>
      <c r="G295" s="1017"/>
      <c r="H295" s="539"/>
      <c r="I295" s="312"/>
      <c r="J295" s="536"/>
      <c r="K295" s="42"/>
      <c r="L295" s="50"/>
      <c r="M295" s="537"/>
      <c r="N295" s="49"/>
      <c r="O295" s="316"/>
      <c r="P295" s="1008"/>
      <c r="Q295" s="51"/>
      <c r="R295" s="43"/>
      <c r="S295" s="1035"/>
      <c r="T295" s="12"/>
      <c r="U295" s="536"/>
      <c r="V295" s="536"/>
      <c r="W295" s="547"/>
      <c r="X295" s="536"/>
      <c r="Y295" s="537"/>
      <c r="Z295" s="12"/>
      <c r="AA295" s="536"/>
      <c r="AB295" s="536"/>
      <c r="AC295" s="547"/>
      <c r="AD295" s="536"/>
      <c r="AE295" s="537"/>
      <c r="AF295" s="12"/>
      <c r="AG295" s="536"/>
      <c r="AH295" s="536"/>
      <c r="AI295" s="547"/>
      <c r="AJ295" s="536"/>
      <c r="AK295" s="538"/>
      <c r="AL295" s="12"/>
      <c r="AM295" s="536"/>
      <c r="AN295" s="536"/>
      <c r="AO295" s="547"/>
      <c r="AP295" s="536"/>
      <c r="AQ295" s="538"/>
      <c r="AR295" s="530"/>
    </row>
    <row r="296" spans="1:44" ht="18.75">
      <c r="A296" s="1008">
        <v>144</v>
      </c>
      <c r="B296" s="1008">
        <v>2795156</v>
      </c>
      <c r="C296" s="1025" t="s">
        <v>268</v>
      </c>
      <c r="D296" s="1024">
        <v>1.1100000000000001</v>
      </c>
      <c r="E296" s="1017">
        <v>9401</v>
      </c>
      <c r="F296" s="1018">
        <v>1.1100000000000001</v>
      </c>
      <c r="G296" s="1017">
        <v>9401</v>
      </c>
      <c r="H296" s="1019" t="s">
        <v>60</v>
      </c>
      <c r="I296" s="971" t="s">
        <v>2596</v>
      </c>
      <c r="J296" s="1020" t="s">
        <v>114</v>
      </c>
      <c r="K296" s="558">
        <v>1.1100000000000001</v>
      </c>
      <c r="L296" s="553" t="s">
        <v>17</v>
      </c>
      <c r="M296" s="1017">
        <v>11884.5095</v>
      </c>
      <c r="N296" s="538"/>
      <c r="O296" s="536"/>
      <c r="P296" s="536"/>
      <c r="Q296" s="547"/>
      <c r="R296" s="536"/>
      <c r="S296" s="725"/>
      <c r="T296" s="12"/>
      <c r="U296" s="536"/>
      <c r="V296" s="536"/>
      <c r="W296" s="547"/>
      <c r="X296" s="536"/>
      <c r="Y296" s="537"/>
      <c r="Z296" s="12"/>
      <c r="AA296" s="536"/>
      <c r="AB296" s="536"/>
      <c r="AC296" s="547"/>
      <c r="AD296" s="536"/>
      <c r="AE296" s="537"/>
      <c r="AF296" s="12"/>
      <c r="AG296" s="536"/>
      <c r="AH296" s="536"/>
      <c r="AI296" s="547"/>
      <c r="AJ296" s="536"/>
      <c r="AK296" s="538"/>
      <c r="AL296" s="12"/>
      <c r="AM296" s="536"/>
      <c r="AN296" s="536"/>
      <c r="AO296" s="547"/>
      <c r="AP296" s="536"/>
      <c r="AQ296" s="538"/>
      <c r="AR296" s="530"/>
    </row>
    <row r="297" spans="1:44" ht="48.75" customHeight="1">
      <c r="A297" s="1008"/>
      <c r="B297" s="1008"/>
      <c r="C297" s="1025"/>
      <c r="D297" s="1024"/>
      <c r="E297" s="1017"/>
      <c r="F297" s="1018"/>
      <c r="G297" s="1017"/>
      <c r="H297" s="1019"/>
      <c r="I297" s="971"/>
      <c r="J297" s="1020"/>
      <c r="K297" s="51">
        <v>9641</v>
      </c>
      <c r="L297" s="43" t="s">
        <v>32</v>
      </c>
      <c r="M297" s="1017"/>
      <c r="N297" s="538"/>
      <c r="O297" s="536"/>
      <c r="P297" s="536"/>
      <c r="Q297" s="547"/>
      <c r="R297" s="536"/>
      <c r="S297" s="725"/>
      <c r="T297" s="12"/>
      <c r="U297" s="536"/>
      <c r="V297" s="536"/>
      <c r="W297" s="547"/>
      <c r="X297" s="536"/>
      <c r="Y297" s="537"/>
      <c r="Z297" s="12"/>
      <c r="AA297" s="536"/>
      <c r="AB297" s="536"/>
      <c r="AC297" s="547"/>
      <c r="AD297" s="536"/>
      <c r="AE297" s="537"/>
      <c r="AF297" s="12"/>
      <c r="AG297" s="536"/>
      <c r="AH297" s="536"/>
      <c r="AI297" s="547"/>
      <c r="AJ297" s="536"/>
      <c r="AK297" s="538"/>
      <c r="AL297" s="12"/>
      <c r="AM297" s="536"/>
      <c r="AN297" s="536"/>
      <c r="AO297" s="547"/>
      <c r="AP297" s="536"/>
      <c r="AQ297" s="538"/>
      <c r="AR297" s="530"/>
    </row>
    <row r="298" spans="1:44" ht="56.25">
      <c r="A298" s="536">
        <v>145</v>
      </c>
      <c r="B298" s="536">
        <v>2795145</v>
      </c>
      <c r="C298" s="546" t="s">
        <v>269</v>
      </c>
      <c r="D298" s="547">
        <v>1.1200000000000001</v>
      </c>
      <c r="E298" s="537">
        <v>10595</v>
      </c>
      <c r="F298" s="548">
        <v>1.1200000000000001</v>
      </c>
      <c r="G298" s="537">
        <v>10595</v>
      </c>
      <c r="H298" s="539"/>
      <c r="I298" s="312"/>
      <c r="J298" s="536"/>
      <c r="K298" s="42"/>
      <c r="L298" s="50"/>
      <c r="M298" s="537"/>
      <c r="N298" s="538"/>
      <c r="O298" s="536"/>
      <c r="P298" s="536"/>
      <c r="Q298" s="547"/>
      <c r="R298" s="536"/>
      <c r="S298" s="725"/>
      <c r="T298" s="12"/>
      <c r="U298" s="536"/>
      <c r="V298" s="536"/>
      <c r="W298" s="547"/>
      <c r="X298" s="536"/>
      <c r="Y298" s="537"/>
      <c r="Z298" s="12"/>
      <c r="AA298" s="536"/>
      <c r="AB298" s="536" t="s">
        <v>93</v>
      </c>
      <c r="AC298" s="547">
        <v>1</v>
      </c>
      <c r="AD298" s="536" t="s">
        <v>118</v>
      </c>
      <c r="AE298" s="537">
        <v>50</v>
      </c>
      <c r="AF298" s="12"/>
      <c r="AG298" s="536"/>
      <c r="AH298" s="536"/>
      <c r="AI298" s="547"/>
      <c r="AJ298" s="536"/>
      <c r="AK298" s="538"/>
      <c r="AL298" s="12"/>
      <c r="AM298" s="536"/>
      <c r="AN298" s="536"/>
      <c r="AO298" s="547"/>
      <c r="AP298" s="536"/>
      <c r="AQ298" s="538"/>
      <c r="AR298" s="530"/>
    </row>
    <row r="299" spans="1:44" ht="56.25">
      <c r="A299" s="536">
        <v>146</v>
      </c>
      <c r="B299" s="536">
        <v>742401</v>
      </c>
      <c r="C299" s="546" t="s">
        <v>270</v>
      </c>
      <c r="D299" s="547">
        <v>0.15</v>
      </c>
      <c r="E299" s="537">
        <v>2152</v>
      </c>
      <c r="F299" s="548">
        <v>0.15</v>
      </c>
      <c r="G299" s="537">
        <v>2152</v>
      </c>
      <c r="H299" s="539"/>
      <c r="I299" s="312"/>
      <c r="J299" s="536"/>
      <c r="K299" s="42"/>
      <c r="L299" s="50"/>
      <c r="M299" s="537"/>
      <c r="N299" s="538"/>
      <c r="O299" s="536"/>
      <c r="P299" s="536"/>
      <c r="Q299" s="547"/>
      <c r="R299" s="536"/>
      <c r="S299" s="725"/>
      <c r="T299" s="12"/>
      <c r="U299" s="536"/>
      <c r="V299" s="536"/>
      <c r="W299" s="547"/>
      <c r="X299" s="536"/>
      <c r="Y299" s="537"/>
      <c r="Z299" s="12"/>
      <c r="AA299" s="536"/>
      <c r="AB299" s="536"/>
      <c r="AC299" s="547"/>
      <c r="AD299" s="536"/>
      <c r="AE299" s="537"/>
      <c r="AF299" s="12"/>
      <c r="AG299" s="536"/>
      <c r="AH299" s="536" t="s">
        <v>93</v>
      </c>
      <c r="AI299" s="547">
        <v>1</v>
      </c>
      <c r="AJ299" s="536" t="s">
        <v>118</v>
      </c>
      <c r="AK299" s="537">
        <v>50</v>
      </c>
      <c r="AL299" s="12"/>
      <c r="AM299" s="536"/>
      <c r="AN299" s="536"/>
      <c r="AO299" s="547"/>
      <c r="AP299" s="536"/>
      <c r="AQ299" s="538"/>
      <c r="AR299" s="530"/>
    </row>
    <row r="300" spans="1:44" ht="18.75">
      <c r="A300" s="1008">
        <v>147</v>
      </c>
      <c r="B300" s="1008">
        <v>2795185</v>
      </c>
      <c r="C300" s="1025" t="s">
        <v>271</v>
      </c>
      <c r="D300" s="1024">
        <v>0.45</v>
      </c>
      <c r="E300" s="1017">
        <v>3023</v>
      </c>
      <c r="F300" s="1018">
        <v>0.45</v>
      </c>
      <c r="G300" s="1017">
        <v>3023</v>
      </c>
      <c r="H300" s="1019" t="s">
        <v>60</v>
      </c>
      <c r="I300" s="971" t="s">
        <v>2726</v>
      </c>
      <c r="J300" s="1020" t="s">
        <v>114</v>
      </c>
      <c r="K300" s="558">
        <v>0.45</v>
      </c>
      <c r="L300" s="553" t="s">
        <v>17</v>
      </c>
      <c r="M300" s="1017">
        <v>3507.02115</v>
      </c>
      <c r="N300" s="538"/>
      <c r="O300" s="536"/>
      <c r="P300" s="536"/>
      <c r="Q300" s="547"/>
      <c r="R300" s="536"/>
      <c r="S300" s="725"/>
      <c r="T300" s="12"/>
      <c r="U300" s="536"/>
      <c r="V300" s="536"/>
      <c r="W300" s="547"/>
      <c r="X300" s="536"/>
      <c r="Y300" s="537"/>
      <c r="Z300" s="12"/>
      <c r="AA300" s="536"/>
      <c r="AB300" s="536"/>
      <c r="AC300" s="547"/>
      <c r="AD300" s="536"/>
      <c r="AE300" s="537"/>
      <c r="AF300" s="12"/>
      <c r="AG300" s="536"/>
      <c r="AH300" s="536"/>
      <c r="AI300" s="547"/>
      <c r="AJ300" s="536"/>
      <c r="AK300" s="538"/>
      <c r="AL300" s="1031"/>
      <c r="AM300" s="1023"/>
      <c r="AN300" s="1042"/>
      <c r="AO300" s="547"/>
      <c r="AP300" s="553"/>
      <c r="AQ300" s="1027"/>
      <c r="AR300" s="530"/>
    </row>
    <row r="301" spans="1:44" ht="18.75">
      <c r="A301" s="1008"/>
      <c r="B301" s="1008"/>
      <c r="C301" s="1025"/>
      <c r="D301" s="1024"/>
      <c r="E301" s="1017"/>
      <c r="F301" s="1018"/>
      <c r="G301" s="1017"/>
      <c r="H301" s="1019"/>
      <c r="I301" s="971"/>
      <c r="J301" s="1020"/>
      <c r="K301" s="51">
        <v>3023</v>
      </c>
      <c r="L301" s="43" t="s">
        <v>32</v>
      </c>
      <c r="M301" s="1017"/>
      <c r="N301" s="538"/>
      <c r="O301" s="536"/>
      <c r="P301" s="536"/>
      <c r="Q301" s="547"/>
      <c r="R301" s="536"/>
      <c r="S301" s="725"/>
      <c r="T301" s="12"/>
      <c r="U301" s="536"/>
      <c r="V301" s="536"/>
      <c r="W301" s="547"/>
      <c r="X301" s="536"/>
      <c r="Y301" s="537"/>
      <c r="Z301" s="12"/>
      <c r="AA301" s="536"/>
      <c r="AB301" s="536"/>
      <c r="AC301" s="547"/>
      <c r="AD301" s="536"/>
      <c r="AE301" s="537"/>
      <c r="AF301" s="12"/>
      <c r="AG301" s="536"/>
      <c r="AH301" s="536"/>
      <c r="AI301" s="547"/>
      <c r="AJ301" s="536"/>
      <c r="AK301" s="538"/>
      <c r="AL301" s="1026"/>
      <c r="AM301" s="1026"/>
      <c r="AN301" s="1026"/>
      <c r="AO301" s="536"/>
      <c r="AP301" s="43"/>
      <c r="AQ301" s="1027"/>
      <c r="AR301" s="530"/>
    </row>
    <row r="302" spans="1:44" ht="56.25">
      <c r="A302" s="536">
        <v>148</v>
      </c>
      <c r="B302" s="536">
        <v>737957</v>
      </c>
      <c r="C302" s="546" t="s">
        <v>272</v>
      </c>
      <c r="D302" s="547">
        <v>3.7</v>
      </c>
      <c r="E302" s="537">
        <v>25761</v>
      </c>
      <c r="F302" s="548">
        <v>3.7</v>
      </c>
      <c r="G302" s="537">
        <v>25761</v>
      </c>
      <c r="H302" s="539"/>
      <c r="I302" s="312"/>
      <c r="J302" s="536"/>
      <c r="K302" s="42"/>
      <c r="L302" s="50"/>
      <c r="M302" s="537"/>
      <c r="N302" s="538"/>
      <c r="O302" s="536"/>
      <c r="P302" s="536"/>
      <c r="Q302" s="547"/>
      <c r="R302" s="536"/>
      <c r="S302" s="725"/>
      <c r="T302" s="12"/>
      <c r="U302" s="536"/>
      <c r="V302" s="536"/>
      <c r="W302" s="547"/>
      <c r="X302" s="536"/>
      <c r="Y302" s="537"/>
      <c r="Z302" s="12"/>
      <c r="AA302" s="536"/>
      <c r="AB302" s="536" t="s">
        <v>93</v>
      </c>
      <c r="AC302" s="547">
        <v>1</v>
      </c>
      <c r="AD302" s="536" t="s">
        <v>118</v>
      </c>
      <c r="AE302" s="537">
        <v>50</v>
      </c>
      <c r="AF302" s="12"/>
      <c r="AG302" s="536"/>
      <c r="AH302" s="536"/>
      <c r="AI302" s="547"/>
      <c r="AJ302" s="536"/>
      <c r="AK302" s="538"/>
      <c r="AL302" s="12"/>
      <c r="AM302" s="536"/>
      <c r="AN302" s="536"/>
      <c r="AO302" s="547"/>
      <c r="AP302" s="536"/>
      <c r="AQ302" s="538"/>
      <c r="AR302" s="530"/>
    </row>
    <row r="303" spans="1:44" ht="56.25">
      <c r="A303" s="536">
        <v>149</v>
      </c>
      <c r="B303" s="536">
        <v>740193</v>
      </c>
      <c r="C303" s="546" t="s">
        <v>273</v>
      </c>
      <c r="D303" s="547">
        <v>0.61</v>
      </c>
      <c r="E303" s="537">
        <v>3470</v>
      </c>
      <c r="F303" s="548">
        <v>0.61</v>
      </c>
      <c r="G303" s="537">
        <v>3470</v>
      </c>
      <c r="H303" s="539"/>
      <c r="I303" s="312"/>
      <c r="J303" s="536"/>
      <c r="K303" s="42"/>
      <c r="L303" s="50"/>
      <c r="M303" s="537"/>
      <c r="N303" s="538"/>
      <c r="O303" s="536"/>
      <c r="P303" s="536"/>
      <c r="Q303" s="547"/>
      <c r="R303" s="536"/>
      <c r="S303" s="725"/>
      <c r="T303" s="12"/>
      <c r="U303" s="536"/>
      <c r="V303" s="536"/>
      <c r="W303" s="547"/>
      <c r="X303" s="536"/>
      <c r="Y303" s="537"/>
      <c r="Z303" s="12"/>
      <c r="AA303" s="536"/>
      <c r="AB303" s="536"/>
      <c r="AC303" s="547"/>
      <c r="AD303" s="536"/>
      <c r="AE303" s="537"/>
      <c r="AF303" s="12"/>
      <c r="AG303" s="536"/>
      <c r="AH303" s="536" t="s">
        <v>93</v>
      </c>
      <c r="AI303" s="547">
        <v>1</v>
      </c>
      <c r="AJ303" s="536" t="s">
        <v>118</v>
      </c>
      <c r="AK303" s="537">
        <v>50</v>
      </c>
      <c r="AL303" s="12"/>
      <c r="AM303" s="536"/>
      <c r="AN303" s="536"/>
      <c r="AO303" s="547"/>
      <c r="AP303" s="536"/>
      <c r="AQ303" s="538"/>
      <c r="AR303" s="530"/>
    </row>
    <row r="304" spans="1:44" ht="56.25">
      <c r="A304" s="536">
        <v>150</v>
      </c>
      <c r="B304" s="536">
        <v>736758</v>
      </c>
      <c r="C304" s="546" t="s">
        <v>274</v>
      </c>
      <c r="D304" s="547">
        <v>0.66</v>
      </c>
      <c r="E304" s="537">
        <v>3600</v>
      </c>
      <c r="F304" s="548">
        <v>0.66</v>
      </c>
      <c r="G304" s="537">
        <v>3600</v>
      </c>
      <c r="H304" s="539"/>
      <c r="I304" s="312"/>
      <c r="J304" s="536"/>
      <c r="K304" s="42"/>
      <c r="L304" s="50"/>
      <c r="M304" s="537"/>
      <c r="N304" s="538"/>
      <c r="O304" s="536"/>
      <c r="P304" s="536"/>
      <c r="Q304" s="547"/>
      <c r="R304" s="536"/>
      <c r="S304" s="725"/>
      <c r="T304" s="12"/>
      <c r="U304" s="536"/>
      <c r="V304" s="536"/>
      <c r="W304" s="547"/>
      <c r="X304" s="536"/>
      <c r="Y304" s="537"/>
      <c r="Z304" s="12"/>
      <c r="AA304" s="536"/>
      <c r="AB304" s="536"/>
      <c r="AC304" s="547"/>
      <c r="AD304" s="536"/>
      <c r="AE304" s="537"/>
      <c r="AF304" s="12"/>
      <c r="AG304" s="536"/>
      <c r="AH304" s="536"/>
      <c r="AI304" s="547"/>
      <c r="AJ304" s="536"/>
      <c r="AK304" s="538"/>
      <c r="AL304" s="12"/>
      <c r="AM304" s="536"/>
      <c r="AN304" s="536" t="s">
        <v>93</v>
      </c>
      <c r="AO304" s="547">
        <v>1</v>
      </c>
      <c r="AP304" s="536" t="s">
        <v>118</v>
      </c>
      <c r="AQ304" s="537">
        <v>50</v>
      </c>
      <c r="AR304" s="530"/>
    </row>
    <row r="305" spans="1:44" ht="18.75" customHeight="1">
      <c r="A305" s="1008">
        <v>151</v>
      </c>
      <c r="B305" s="1008">
        <v>2795064</v>
      </c>
      <c r="C305" s="1025" t="s">
        <v>275</v>
      </c>
      <c r="D305" s="1024">
        <v>1.26</v>
      </c>
      <c r="E305" s="1017">
        <v>7617</v>
      </c>
      <c r="F305" s="1018">
        <v>1.26</v>
      </c>
      <c r="G305" s="1017">
        <v>7617</v>
      </c>
      <c r="H305" s="1019" t="s">
        <v>60</v>
      </c>
      <c r="I305" s="1019" t="s">
        <v>2733</v>
      </c>
      <c r="J305" s="1020" t="s">
        <v>114</v>
      </c>
      <c r="K305" s="558">
        <v>0.91</v>
      </c>
      <c r="L305" s="553" t="s">
        <v>17</v>
      </c>
      <c r="M305" s="1017">
        <v>6658.7695800000001</v>
      </c>
      <c r="N305" s="538"/>
      <c r="O305" s="536"/>
      <c r="P305" s="536"/>
      <c r="Q305" s="547"/>
      <c r="R305" s="536"/>
      <c r="S305" s="725"/>
      <c r="T305" s="12"/>
      <c r="U305" s="536"/>
      <c r="V305" s="536"/>
      <c r="W305" s="547"/>
      <c r="X305" s="536"/>
      <c r="Y305" s="537"/>
      <c r="Z305" s="12"/>
      <c r="AA305" s="536"/>
      <c r="AB305" s="536"/>
      <c r="AC305" s="547"/>
      <c r="AD305" s="536"/>
      <c r="AE305" s="537"/>
      <c r="AF305" s="12"/>
      <c r="AG305" s="536"/>
      <c r="AH305" s="536"/>
      <c r="AI305" s="547"/>
      <c r="AJ305" s="536"/>
      <c r="AK305" s="538"/>
      <c r="AL305" s="12"/>
      <c r="AM305" s="536"/>
      <c r="AN305" s="536"/>
      <c r="AO305" s="547"/>
      <c r="AP305" s="536"/>
      <c r="AQ305" s="538"/>
      <c r="AR305" s="530"/>
    </row>
    <row r="306" spans="1:44" ht="18.75">
      <c r="A306" s="1008"/>
      <c r="B306" s="1008"/>
      <c r="C306" s="1025"/>
      <c r="D306" s="1024"/>
      <c r="E306" s="1017"/>
      <c r="F306" s="1018"/>
      <c r="G306" s="1017"/>
      <c r="H306" s="1019"/>
      <c r="I306" s="1019"/>
      <c r="J306" s="1020"/>
      <c r="K306" s="51">
        <v>5501</v>
      </c>
      <c r="L306" s="43" t="s">
        <v>32</v>
      </c>
      <c r="M306" s="1017"/>
      <c r="N306" s="538"/>
      <c r="O306" s="536"/>
      <c r="P306" s="536"/>
      <c r="Q306" s="547"/>
      <c r="R306" s="536"/>
      <c r="S306" s="725"/>
      <c r="T306" s="12"/>
      <c r="U306" s="536"/>
      <c r="V306" s="536"/>
      <c r="W306" s="547"/>
      <c r="X306" s="536"/>
      <c r="Y306" s="537"/>
      <c r="Z306" s="12"/>
      <c r="AA306" s="536"/>
      <c r="AB306" s="536"/>
      <c r="AC306" s="547"/>
      <c r="AD306" s="536"/>
      <c r="AE306" s="537"/>
      <c r="AF306" s="12"/>
      <c r="AG306" s="536"/>
      <c r="AH306" s="536"/>
      <c r="AI306" s="547"/>
      <c r="AJ306" s="536"/>
      <c r="AK306" s="538"/>
      <c r="AL306" s="12"/>
      <c r="AM306" s="536"/>
      <c r="AN306" s="536"/>
      <c r="AO306" s="547"/>
      <c r="AP306" s="536"/>
      <c r="AQ306" s="538"/>
      <c r="AR306" s="530"/>
    </row>
    <row r="307" spans="1:44" ht="56.25">
      <c r="A307" s="536">
        <v>152</v>
      </c>
      <c r="B307" s="536">
        <v>738334</v>
      </c>
      <c r="C307" s="546" t="s">
        <v>276</v>
      </c>
      <c r="D307" s="547">
        <v>0.24</v>
      </c>
      <c r="E307" s="537">
        <v>2019</v>
      </c>
      <c r="F307" s="548">
        <v>0.24</v>
      </c>
      <c r="G307" s="537">
        <v>2019</v>
      </c>
      <c r="H307" s="536"/>
      <c r="I307" s="312"/>
      <c r="J307" s="536"/>
      <c r="K307" s="42"/>
      <c r="L307" s="50"/>
      <c r="M307" s="537"/>
      <c r="N307" s="538"/>
      <c r="O307" s="536"/>
      <c r="P307" s="536"/>
      <c r="Q307" s="547"/>
      <c r="R307" s="536"/>
      <c r="S307" s="725"/>
      <c r="T307" s="12"/>
      <c r="U307" s="536"/>
      <c r="V307" s="536"/>
      <c r="W307" s="547"/>
      <c r="X307" s="536"/>
      <c r="Y307" s="537"/>
      <c r="Z307" s="12"/>
      <c r="AA307" s="536"/>
      <c r="AB307" s="536"/>
      <c r="AC307" s="547"/>
      <c r="AD307" s="536"/>
      <c r="AE307" s="537"/>
      <c r="AF307" s="12"/>
      <c r="AG307" s="536"/>
      <c r="AH307" s="536" t="s">
        <v>93</v>
      </c>
      <c r="AI307" s="547">
        <v>1</v>
      </c>
      <c r="AJ307" s="536" t="s">
        <v>118</v>
      </c>
      <c r="AK307" s="537">
        <v>50</v>
      </c>
      <c r="AL307" s="12"/>
      <c r="AM307" s="536"/>
      <c r="AN307" s="536"/>
      <c r="AO307" s="547"/>
      <c r="AP307" s="536"/>
      <c r="AQ307" s="538"/>
      <c r="AR307" s="530"/>
    </row>
    <row r="308" spans="1:44" ht="56.25">
      <c r="A308" s="536">
        <v>153</v>
      </c>
      <c r="B308" s="536">
        <v>738891</v>
      </c>
      <c r="C308" s="546" t="s">
        <v>277</v>
      </c>
      <c r="D308" s="547">
        <v>0.62</v>
      </c>
      <c r="E308" s="537">
        <v>4486</v>
      </c>
      <c r="F308" s="548">
        <v>0.62</v>
      </c>
      <c r="G308" s="537">
        <v>4486</v>
      </c>
      <c r="H308" s="536"/>
      <c r="I308" s="312"/>
      <c r="J308" s="536"/>
      <c r="K308" s="42"/>
      <c r="L308" s="50"/>
      <c r="M308" s="537"/>
      <c r="N308" s="538"/>
      <c r="O308" s="536"/>
      <c r="P308" s="536"/>
      <c r="Q308" s="547"/>
      <c r="R308" s="536"/>
      <c r="S308" s="725"/>
      <c r="T308" s="12"/>
      <c r="U308" s="536"/>
      <c r="V308" s="536"/>
      <c r="W308" s="547"/>
      <c r="X308" s="536"/>
      <c r="Y308" s="537"/>
      <c r="Z308" s="12"/>
      <c r="AA308" s="536"/>
      <c r="AB308" s="536" t="s">
        <v>93</v>
      </c>
      <c r="AC308" s="547">
        <v>1</v>
      </c>
      <c r="AD308" s="536" t="s">
        <v>118</v>
      </c>
      <c r="AE308" s="537">
        <v>50</v>
      </c>
      <c r="AF308" s="12"/>
      <c r="AG308" s="536"/>
      <c r="AH308" s="536"/>
      <c r="AI308" s="547"/>
      <c r="AJ308" s="536"/>
      <c r="AK308" s="538"/>
      <c r="AL308" s="12"/>
      <c r="AM308" s="536"/>
      <c r="AN308" s="536"/>
      <c r="AO308" s="547"/>
      <c r="AP308" s="536"/>
      <c r="AQ308" s="538"/>
      <c r="AR308" s="530"/>
    </row>
    <row r="309" spans="1:44" ht="18.75">
      <c r="A309" s="1008">
        <v>154</v>
      </c>
      <c r="B309" s="1008">
        <v>735094</v>
      </c>
      <c r="C309" s="1025" t="s">
        <v>278</v>
      </c>
      <c r="D309" s="1024">
        <v>0.65</v>
      </c>
      <c r="E309" s="1017">
        <v>5174</v>
      </c>
      <c r="F309" s="1018">
        <v>0.65</v>
      </c>
      <c r="G309" s="1017">
        <v>5174</v>
      </c>
      <c r="H309" s="1019" t="s">
        <v>60</v>
      </c>
      <c r="I309" s="971" t="s">
        <v>2728</v>
      </c>
      <c r="J309" s="1020" t="s">
        <v>114</v>
      </c>
      <c r="K309" s="558">
        <v>0.65</v>
      </c>
      <c r="L309" s="553" t="s">
        <v>17</v>
      </c>
      <c r="M309" s="1017">
        <v>5859.8671800000002</v>
      </c>
      <c r="N309" s="538"/>
      <c r="O309" s="536"/>
      <c r="P309" s="536"/>
      <c r="Q309" s="547"/>
      <c r="R309" s="536"/>
      <c r="S309" s="725"/>
      <c r="T309" s="12"/>
      <c r="U309" s="536"/>
      <c r="V309" s="536"/>
      <c r="W309" s="547"/>
      <c r="X309" s="536"/>
      <c r="Y309" s="537"/>
      <c r="Z309" s="12"/>
      <c r="AA309" s="536"/>
      <c r="AB309" s="536"/>
      <c r="AC309" s="547"/>
      <c r="AD309" s="536"/>
      <c r="AE309" s="537"/>
      <c r="AF309" s="12"/>
      <c r="AG309" s="536"/>
      <c r="AH309" s="536"/>
      <c r="AI309" s="547"/>
      <c r="AJ309" s="536"/>
      <c r="AK309" s="538"/>
      <c r="AL309" s="12"/>
      <c r="AM309" s="536"/>
      <c r="AN309" s="536"/>
      <c r="AO309" s="547"/>
      <c r="AP309" s="536"/>
      <c r="AQ309" s="538"/>
      <c r="AR309" s="530"/>
    </row>
    <row r="310" spans="1:44" ht="18.75">
      <c r="A310" s="1008"/>
      <c r="B310" s="1008"/>
      <c r="C310" s="1025"/>
      <c r="D310" s="1024"/>
      <c r="E310" s="1017"/>
      <c r="F310" s="1018"/>
      <c r="G310" s="1017"/>
      <c r="H310" s="1019"/>
      <c r="I310" s="971"/>
      <c r="J310" s="1020"/>
      <c r="K310" s="51">
        <v>5038</v>
      </c>
      <c r="L310" s="43" t="s">
        <v>32</v>
      </c>
      <c r="M310" s="1017"/>
      <c r="N310" s="538"/>
      <c r="O310" s="536"/>
      <c r="P310" s="536"/>
      <c r="Q310" s="547"/>
      <c r="R310" s="536"/>
      <c r="S310" s="725"/>
      <c r="T310" s="12"/>
      <c r="U310" s="536"/>
      <c r="V310" s="536"/>
      <c r="W310" s="547"/>
      <c r="X310" s="536"/>
      <c r="Y310" s="537"/>
      <c r="Z310" s="12"/>
      <c r="AA310" s="536"/>
      <c r="AB310" s="536"/>
      <c r="AC310" s="547"/>
      <c r="AD310" s="536"/>
      <c r="AE310" s="537"/>
      <c r="AF310" s="12"/>
      <c r="AG310" s="536"/>
      <c r="AH310" s="536"/>
      <c r="AI310" s="547"/>
      <c r="AJ310" s="536"/>
      <c r="AK310" s="538"/>
      <c r="AL310" s="12"/>
      <c r="AM310" s="536"/>
      <c r="AN310" s="536"/>
      <c r="AO310" s="547"/>
      <c r="AP310" s="536"/>
      <c r="AQ310" s="538"/>
      <c r="AR310" s="530"/>
    </row>
    <row r="311" spans="1:44" ht="56.25">
      <c r="A311" s="1008">
        <v>155</v>
      </c>
      <c r="B311" s="1008">
        <v>749709</v>
      </c>
      <c r="C311" s="1025" t="s">
        <v>279</v>
      </c>
      <c r="D311" s="1024">
        <v>1.7</v>
      </c>
      <c r="E311" s="1017">
        <v>10371</v>
      </c>
      <c r="F311" s="1018">
        <v>1.7</v>
      </c>
      <c r="G311" s="1017">
        <v>10371</v>
      </c>
      <c r="H311" s="1019" t="s">
        <v>60</v>
      </c>
      <c r="I311" s="971" t="s">
        <v>2736</v>
      </c>
      <c r="J311" s="1020" t="s">
        <v>114</v>
      </c>
      <c r="K311" s="558">
        <v>1.7</v>
      </c>
      <c r="L311" s="553" t="s">
        <v>17</v>
      </c>
      <c r="M311" s="1017">
        <v>11118.52224</v>
      </c>
      <c r="N311" s="49" t="s">
        <v>2833</v>
      </c>
      <c r="O311" s="49" t="s">
        <v>2834</v>
      </c>
      <c r="P311" s="536" t="s">
        <v>120</v>
      </c>
      <c r="Q311" s="547">
        <v>1</v>
      </c>
      <c r="R311" s="536" t="s">
        <v>118</v>
      </c>
      <c r="S311" s="725">
        <v>320</v>
      </c>
      <c r="T311" s="12"/>
      <c r="U311" s="536"/>
      <c r="V311" s="536"/>
      <c r="W311" s="547"/>
      <c r="X311" s="536"/>
      <c r="Y311" s="537"/>
      <c r="Z311" s="12"/>
      <c r="AA311" s="536"/>
      <c r="AB311" s="536"/>
      <c r="AC311" s="547"/>
      <c r="AD311" s="536"/>
      <c r="AE311" s="537"/>
      <c r="AF311" s="12"/>
      <c r="AG311" s="536"/>
      <c r="AH311" s="536"/>
      <c r="AI311" s="547"/>
      <c r="AJ311" s="536"/>
      <c r="AK311" s="538"/>
      <c r="AL311" s="12"/>
      <c r="AM311" s="536"/>
      <c r="AN311" s="536"/>
      <c r="AO311" s="547"/>
      <c r="AP311" s="536"/>
      <c r="AQ311" s="538"/>
      <c r="AR311" s="530"/>
    </row>
    <row r="312" spans="1:44" ht="18.75">
      <c r="A312" s="1008"/>
      <c r="B312" s="1008"/>
      <c r="C312" s="1025"/>
      <c r="D312" s="1024"/>
      <c r="E312" s="1017"/>
      <c r="F312" s="1018"/>
      <c r="G312" s="1017"/>
      <c r="H312" s="1019"/>
      <c r="I312" s="971"/>
      <c r="J312" s="1020"/>
      <c r="K312" s="51">
        <v>9558</v>
      </c>
      <c r="L312" s="43" t="s">
        <v>32</v>
      </c>
      <c r="M312" s="1017"/>
      <c r="N312" s="49"/>
      <c r="O312" s="316"/>
      <c r="P312" s="536"/>
      <c r="Q312" s="547"/>
      <c r="R312" s="536"/>
      <c r="S312" s="725"/>
      <c r="T312" s="12"/>
      <c r="U312" s="536"/>
      <c r="V312" s="536"/>
      <c r="W312" s="547"/>
      <c r="X312" s="536"/>
      <c r="Y312" s="537"/>
      <c r="Z312" s="12"/>
      <c r="AA312" s="536"/>
      <c r="AB312" s="536"/>
      <c r="AC312" s="547"/>
      <c r="AD312" s="536"/>
      <c r="AE312" s="537"/>
      <c r="AF312" s="12"/>
      <c r="AG312" s="536"/>
      <c r="AH312" s="536"/>
      <c r="AI312" s="547"/>
      <c r="AJ312" s="536"/>
      <c r="AK312" s="538"/>
      <c r="AL312" s="12"/>
      <c r="AM312" s="536"/>
      <c r="AN312" s="536"/>
      <c r="AO312" s="547"/>
      <c r="AP312" s="536"/>
      <c r="AQ312" s="538"/>
      <c r="AR312" s="530"/>
    </row>
    <row r="313" spans="1:44" ht="18.75">
      <c r="A313" s="1008">
        <v>156</v>
      </c>
      <c r="B313" s="1008">
        <v>738858</v>
      </c>
      <c r="C313" s="1025" t="s">
        <v>280</v>
      </c>
      <c r="D313" s="1024">
        <v>0.43</v>
      </c>
      <c r="E313" s="1017">
        <v>3529</v>
      </c>
      <c r="F313" s="1018">
        <v>0.43</v>
      </c>
      <c r="G313" s="1017">
        <v>3529</v>
      </c>
      <c r="H313" s="536"/>
      <c r="I313" s="312"/>
      <c r="J313" s="1008"/>
      <c r="K313" s="42"/>
      <c r="L313" s="553"/>
      <c r="M313" s="1017"/>
      <c r="N313" s="538"/>
      <c r="O313" s="536"/>
      <c r="P313" s="536"/>
      <c r="Q313" s="547"/>
      <c r="R313" s="536"/>
      <c r="S313" s="725"/>
      <c r="T313" s="12"/>
      <c r="U313" s="536"/>
      <c r="V313" s="536"/>
      <c r="W313" s="547"/>
      <c r="X313" s="536"/>
      <c r="Y313" s="537"/>
      <c r="Z313" s="12"/>
      <c r="AA313" s="536"/>
      <c r="AB313" s="536"/>
      <c r="AC313" s="547"/>
      <c r="AD313" s="536"/>
      <c r="AE313" s="537"/>
      <c r="AF313" s="12"/>
      <c r="AG313" s="536"/>
      <c r="AH313" s="536"/>
      <c r="AI313" s="547"/>
      <c r="AJ313" s="536"/>
      <c r="AK313" s="538"/>
      <c r="AL313" s="12"/>
      <c r="AM313" s="536"/>
      <c r="AN313" s="1042" t="s">
        <v>31</v>
      </c>
      <c r="AO313" s="547">
        <v>0.33</v>
      </c>
      <c r="AP313" s="553" t="s">
        <v>17</v>
      </c>
      <c r="AQ313" s="1027">
        <v>3716.55</v>
      </c>
      <c r="AR313" s="530"/>
    </row>
    <row r="314" spans="1:44" ht="18.75">
      <c r="A314" s="1008"/>
      <c r="B314" s="1008"/>
      <c r="C314" s="1025"/>
      <c r="D314" s="1024"/>
      <c r="E314" s="1017"/>
      <c r="F314" s="1018"/>
      <c r="G314" s="1017"/>
      <c r="H314" s="536"/>
      <c r="I314" s="312"/>
      <c r="J314" s="1008"/>
      <c r="K314" s="51"/>
      <c r="L314" s="43"/>
      <c r="M314" s="1017"/>
      <c r="N314" s="538"/>
      <c r="O314" s="536"/>
      <c r="P314" s="536"/>
      <c r="Q314" s="547"/>
      <c r="R314" s="536"/>
      <c r="S314" s="725"/>
      <c r="T314" s="12"/>
      <c r="U314" s="536"/>
      <c r="V314" s="536"/>
      <c r="W314" s="547"/>
      <c r="X314" s="536"/>
      <c r="Y314" s="537"/>
      <c r="Z314" s="12"/>
      <c r="AA314" s="536"/>
      <c r="AB314" s="536"/>
      <c r="AC314" s="547"/>
      <c r="AD314" s="536"/>
      <c r="AE314" s="537"/>
      <c r="AF314" s="12"/>
      <c r="AG314" s="536"/>
      <c r="AH314" s="536"/>
      <c r="AI314" s="547"/>
      <c r="AJ314" s="536"/>
      <c r="AK314" s="538"/>
      <c r="AL314" s="12"/>
      <c r="AM314" s="536"/>
      <c r="AN314" s="1026"/>
      <c r="AO314" s="536">
        <v>2753</v>
      </c>
      <c r="AP314" s="43" t="s">
        <v>32</v>
      </c>
      <c r="AQ314" s="1027"/>
      <c r="AR314" s="530"/>
    </row>
    <row r="315" spans="1:44" ht="56.25">
      <c r="A315" s="536">
        <v>157</v>
      </c>
      <c r="B315" s="536">
        <v>738916</v>
      </c>
      <c r="C315" s="546" t="s">
        <v>281</v>
      </c>
      <c r="D315" s="547">
        <v>0.71</v>
      </c>
      <c r="E315" s="537">
        <v>7987</v>
      </c>
      <c r="F315" s="548">
        <v>0.71</v>
      </c>
      <c r="G315" s="537">
        <v>7987</v>
      </c>
      <c r="H315" s="539"/>
      <c r="I315" s="312"/>
      <c r="J315" s="536"/>
      <c r="K315" s="42"/>
      <c r="L315" s="50"/>
      <c r="M315" s="537"/>
      <c r="N315" s="538"/>
      <c r="O315" s="536"/>
      <c r="P315" s="536"/>
      <c r="Q315" s="547"/>
      <c r="R315" s="536"/>
      <c r="S315" s="725"/>
      <c r="T315" s="12"/>
      <c r="U315" s="536"/>
      <c r="V315" s="536"/>
      <c r="W315" s="547"/>
      <c r="X315" s="536"/>
      <c r="Y315" s="537"/>
      <c r="Z315" s="12"/>
      <c r="AA315" s="536"/>
      <c r="AB315" s="536"/>
      <c r="AC315" s="547"/>
      <c r="AD315" s="536"/>
      <c r="AE315" s="537"/>
      <c r="AF315" s="12"/>
      <c r="AG315" s="536"/>
      <c r="AH315" s="536" t="s">
        <v>93</v>
      </c>
      <c r="AI315" s="547">
        <v>1</v>
      </c>
      <c r="AJ315" s="536" t="s">
        <v>118</v>
      </c>
      <c r="AK315" s="537">
        <v>50</v>
      </c>
      <c r="AL315" s="12"/>
      <c r="AM315" s="536"/>
      <c r="AN315" s="536"/>
      <c r="AO315" s="547"/>
      <c r="AP315" s="536"/>
      <c r="AQ315" s="538"/>
      <c r="AR315" s="530"/>
    </row>
    <row r="316" spans="1:44" ht="56.25">
      <c r="A316" s="1008">
        <v>158</v>
      </c>
      <c r="B316" s="1008">
        <v>739029</v>
      </c>
      <c r="C316" s="1025" t="s">
        <v>282</v>
      </c>
      <c r="D316" s="1024">
        <v>0.16</v>
      </c>
      <c r="E316" s="1017">
        <v>2057</v>
      </c>
      <c r="F316" s="1018">
        <v>0.16</v>
      </c>
      <c r="G316" s="1017">
        <v>2057</v>
      </c>
      <c r="H316" s="539"/>
      <c r="I316" s="312"/>
      <c r="J316" s="1008"/>
      <c r="K316" s="42"/>
      <c r="L316" s="553"/>
      <c r="M316" s="1017"/>
      <c r="N316" s="538"/>
      <c r="O316" s="536"/>
      <c r="P316" s="536"/>
      <c r="Q316" s="547"/>
      <c r="R316" s="536"/>
      <c r="S316" s="725"/>
      <c r="T316" s="12"/>
      <c r="U316" s="536"/>
      <c r="V316" s="536"/>
      <c r="W316" s="547"/>
      <c r="X316" s="536"/>
      <c r="Y316" s="537"/>
      <c r="Z316" s="12"/>
      <c r="AA316" s="536"/>
      <c r="AB316" s="536" t="s">
        <v>93</v>
      </c>
      <c r="AC316" s="547">
        <v>1</v>
      </c>
      <c r="AD316" s="536" t="s">
        <v>118</v>
      </c>
      <c r="AE316" s="537">
        <v>50</v>
      </c>
      <c r="AF316" s="12"/>
      <c r="AG316" s="536"/>
      <c r="AH316" s="536"/>
      <c r="AI316" s="547"/>
      <c r="AJ316" s="536"/>
      <c r="AK316" s="538"/>
      <c r="AL316" s="12"/>
      <c r="AM316" s="536"/>
      <c r="AN316" s="536"/>
      <c r="AO316" s="547"/>
      <c r="AP316" s="536"/>
      <c r="AQ316" s="538"/>
      <c r="AR316" s="530"/>
    </row>
    <row r="317" spans="1:44" ht="56.25">
      <c r="A317" s="1008"/>
      <c r="B317" s="1008"/>
      <c r="C317" s="1025"/>
      <c r="D317" s="1024"/>
      <c r="E317" s="1017"/>
      <c r="F317" s="1018"/>
      <c r="G317" s="1017"/>
      <c r="H317" s="539"/>
      <c r="I317" s="312"/>
      <c r="J317" s="1008"/>
      <c r="K317" s="51"/>
      <c r="L317" s="43"/>
      <c r="M317" s="1017"/>
      <c r="N317" s="538"/>
      <c r="O317" s="536"/>
      <c r="P317" s="536"/>
      <c r="Q317" s="547"/>
      <c r="R317" s="536"/>
      <c r="S317" s="725"/>
      <c r="T317" s="12"/>
      <c r="U317" s="536"/>
      <c r="V317" s="536"/>
      <c r="W317" s="547"/>
      <c r="X317" s="536"/>
      <c r="Y317" s="537"/>
      <c r="Z317" s="12"/>
      <c r="AA317" s="536"/>
      <c r="AB317" s="536"/>
      <c r="AC317" s="547"/>
      <c r="AD317" s="536"/>
      <c r="AE317" s="537"/>
      <c r="AF317" s="12"/>
      <c r="AG317" s="536"/>
      <c r="AH317" s="536"/>
      <c r="AI317" s="547"/>
      <c r="AJ317" s="536"/>
      <c r="AK317" s="538"/>
      <c r="AL317" s="12"/>
      <c r="AM317" s="536"/>
      <c r="AN317" s="536" t="s">
        <v>93</v>
      </c>
      <c r="AO317" s="547">
        <v>1</v>
      </c>
      <c r="AP317" s="536" t="s">
        <v>118</v>
      </c>
      <c r="AQ317" s="537">
        <v>50</v>
      </c>
      <c r="AR317" s="530"/>
    </row>
    <row r="318" spans="1:44" ht="18.75">
      <c r="A318" s="1008">
        <v>159</v>
      </c>
      <c r="B318" s="1008">
        <v>737838</v>
      </c>
      <c r="C318" s="1025" t="s">
        <v>283</v>
      </c>
      <c r="D318" s="1024">
        <v>0.1</v>
      </c>
      <c r="E318" s="1017">
        <v>1568</v>
      </c>
      <c r="F318" s="1018">
        <v>0.1</v>
      </c>
      <c r="G318" s="1017">
        <v>1568</v>
      </c>
      <c r="H318" s="539"/>
      <c r="I318" s="312"/>
      <c r="J318" s="536"/>
      <c r="K318" s="42"/>
      <c r="L318" s="50"/>
      <c r="M318" s="537"/>
      <c r="N318" s="538"/>
      <c r="O318" s="536"/>
      <c r="P318" s="536"/>
      <c r="Q318" s="547"/>
      <c r="R318" s="536"/>
      <c r="S318" s="725"/>
      <c r="T318" s="12"/>
      <c r="U318" s="536"/>
      <c r="V318" s="536"/>
      <c r="W318" s="547"/>
      <c r="X318" s="536"/>
      <c r="Y318" s="537"/>
      <c r="Z318" s="957" t="s">
        <v>60</v>
      </c>
      <c r="AA318" s="1008" t="s">
        <v>2721</v>
      </c>
      <c r="AB318" s="1020" t="s">
        <v>114</v>
      </c>
      <c r="AC318" s="547">
        <f>IF(E318="","",D318/E318*AC319)</f>
        <v>0.1</v>
      </c>
      <c r="AD318" s="553" t="s">
        <v>17</v>
      </c>
      <c r="AE318" s="1017">
        <v>1000</v>
      </c>
      <c r="AF318" s="12"/>
      <c r="AG318" s="536"/>
      <c r="AH318" s="536"/>
      <c r="AI318" s="547"/>
      <c r="AJ318" s="536"/>
      <c r="AK318" s="538"/>
      <c r="AL318" s="12"/>
      <c r="AM318" s="536"/>
      <c r="AN318" s="536"/>
      <c r="AO318" s="547"/>
      <c r="AP318" s="536"/>
      <c r="AQ318" s="538"/>
      <c r="AR318" s="530"/>
    </row>
    <row r="319" spans="1:44" ht="18.75">
      <c r="A319" s="1008"/>
      <c r="B319" s="1008"/>
      <c r="C319" s="1025"/>
      <c r="D319" s="1024"/>
      <c r="E319" s="1017"/>
      <c r="F319" s="1018"/>
      <c r="G319" s="1017"/>
      <c r="H319" s="539"/>
      <c r="I319" s="312"/>
      <c r="J319" s="536"/>
      <c r="K319" s="42"/>
      <c r="L319" s="50"/>
      <c r="M319" s="537"/>
      <c r="N319" s="538"/>
      <c r="O319" s="536"/>
      <c r="P319" s="536"/>
      <c r="Q319" s="547"/>
      <c r="R319" s="536"/>
      <c r="S319" s="725"/>
      <c r="T319" s="12"/>
      <c r="U319" s="536"/>
      <c r="V319" s="536"/>
      <c r="W319" s="547"/>
      <c r="X319" s="536"/>
      <c r="Y319" s="537"/>
      <c r="Z319" s="957"/>
      <c r="AA319" s="1008"/>
      <c r="AB319" s="1020"/>
      <c r="AC319" s="536">
        <v>1568</v>
      </c>
      <c r="AD319" s="43" t="s">
        <v>32</v>
      </c>
      <c r="AE319" s="1017"/>
      <c r="AF319" s="12"/>
      <c r="AG319" s="536"/>
      <c r="AH319" s="536"/>
      <c r="AI319" s="547"/>
      <c r="AJ319" s="536"/>
      <c r="AK319" s="538"/>
      <c r="AL319" s="12"/>
      <c r="AM319" s="536"/>
      <c r="AN319" s="536"/>
      <c r="AO319" s="547"/>
      <c r="AP319" s="536"/>
      <c r="AQ319" s="538"/>
      <c r="AR319" s="530"/>
    </row>
    <row r="320" spans="1:44" ht="56.25">
      <c r="A320" s="536">
        <v>160</v>
      </c>
      <c r="B320" s="536">
        <v>735940</v>
      </c>
      <c r="C320" s="546" t="s">
        <v>284</v>
      </c>
      <c r="D320" s="547">
        <v>5.89</v>
      </c>
      <c r="E320" s="537">
        <v>40268</v>
      </c>
      <c r="F320" s="548">
        <v>5.89</v>
      </c>
      <c r="G320" s="537">
        <v>40268</v>
      </c>
      <c r="H320" s="539"/>
      <c r="I320" s="312"/>
      <c r="J320" s="536"/>
      <c r="K320" s="42"/>
      <c r="L320" s="50"/>
      <c r="M320" s="537"/>
      <c r="N320" s="538"/>
      <c r="O320" s="536"/>
      <c r="P320" s="536"/>
      <c r="Q320" s="547"/>
      <c r="R320" s="536"/>
      <c r="S320" s="725"/>
      <c r="T320" s="12"/>
      <c r="U320" s="536"/>
      <c r="V320" s="536"/>
      <c r="W320" s="547"/>
      <c r="X320" s="536"/>
      <c r="Y320" s="537"/>
      <c r="Z320" s="12"/>
      <c r="AA320" s="536"/>
      <c r="AB320" s="536" t="s">
        <v>93</v>
      </c>
      <c r="AC320" s="547">
        <v>1</v>
      </c>
      <c r="AD320" s="536" t="s">
        <v>118</v>
      </c>
      <c r="AE320" s="537">
        <v>50</v>
      </c>
      <c r="AF320" s="12"/>
      <c r="AG320" s="536"/>
      <c r="AH320" s="536"/>
      <c r="AI320" s="547"/>
      <c r="AJ320" s="536"/>
      <c r="AK320" s="538"/>
      <c r="AL320" s="12"/>
      <c r="AM320" s="536"/>
      <c r="AN320" s="536"/>
      <c r="AO320" s="547"/>
      <c r="AP320" s="536"/>
      <c r="AQ320" s="538"/>
      <c r="AR320" s="530"/>
    </row>
    <row r="321" spans="1:44" ht="75">
      <c r="A321" s="536">
        <v>161</v>
      </c>
      <c r="B321" s="536">
        <v>2795142</v>
      </c>
      <c r="C321" s="546" t="s">
        <v>285</v>
      </c>
      <c r="D321" s="547">
        <v>3.65</v>
      </c>
      <c r="E321" s="537">
        <v>31755</v>
      </c>
      <c r="F321" s="548">
        <v>3.65</v>
      </c>
      <c r="G321" s="537">
        <v>31755</v>
      </c>
      <c r="H321" s="536"/>
      <c r="I321" s="312"/>
      <c r="J321" s="536"/>
      <c r="K321" s="42"/>
      <c r="L321" s="50"/>
      <c r="M321" s="537"/>
      <c r="N321" s="538"/>
      <c r="O321" s="536"/>
      <c r="P321" s="536"/>
      <c r="Q321" s="547"/>
      <c r="R321" s="536"/>
      <c r="S321" s="725"/>
      <c r="T321" s="12"/>
      <c r="U321" s="536"/>
      <c r="V321" s="536"/>
      <c r="W321" s="547"/>
      <c r="X321" s="536"/>
      <c r="Y321" s="537"/>
      <c r="Z321" s="12"/>
      <c r="AA321" s="536"/>
      <c r="AB321" s="536"/>
      <c r="AC321" s="547"/>
      <c r="AD321" s="536"/>
      <c r="AE321" s="537"/>
      <c r="AF321" s="12"/>
      <c r="AG321" s="536"/>
      <c r="AH321" s="536" t="s">
        <v>93</v>
      </c>
      <c r="AI321" s="547">
        <v>1</v>
      </c>
      <c r="AJ321" s="536" t="s">
        <v>118</v>
      </c>
      <c r="AK321" s="537">
        <v>50</v>
      </c>
      <c r="AL321" s="12"/>
      <c r="AM321" s="536"/>
      <c r="AN321" s="536"/>
      <c r="AO321" s="547"/>
      <c r="AP321" s="536"/>
      <c r="AQ321" s="538"/>
      <c r="AR321" s="530"/>
    </row>
    <row r="322" spans="1:44" ht="56.25">
      <c r="A322" s="536">
        <v>162</v>
      </c>
      <c r="B322" s="536">
        <v>2795116</v>
      </c>
      <c r="C322" s="546" t="s">
        <v>286</v>
      </c>
      <c r="D322" s="547">
        <v>1.79</v>
      </c>
      <c r="E322" s="537">
        <v>12360</v>
      </c>
      <c r="F322" s="548">
        <v>1.79</v>
      </c>
      <c r="G322" s="537">
        <v>12360</v>
      </c>
      <c r="H322" s="539"/>
      <c r="I322" s="312"/>
      <c r="J322" s="536"/>
      <c r="K322" s="42"/>
      <c r="L322" s="50"/>
      <c r="M322" s="537"/>
      <c r="N322" s="538"/>
      <c r="O322" s="536"/>
      <c r="P322" s="536"/>
      <c r="Q322" s="547"/>
      <c r="R322" s="536"/>
      <c r="S322" s="725"/>
      <c r="T322" s="12"/>
      <c r="U322" s="536"/>
      <c r="V322" s="536"/>
      <c r="W322" s="547"/>
      <c r="X322" s="536"/>
      <c r="Y322" s="537"/>
      <c r="Z322" s="12"/>
      <c r="AA322" s="536"/>
      <c r="AB322" s="536" t="s">
        <v>93</v>
      </c>
      <c r="AC322" s="547">
        <v>1</v>
      </c>
      <c r="AD322" s="536" t="s">
        <v>118</v>
      </c>
      <c r="AE322" s="537">
        <v>50</v>
      </c>
      <c r="AF322" s="12"/>
      <c r="AG322" s="536"/>
      <c r="AH322" s="536"/>
      <c r="AI322" s="547"/>
      <c r="AJ322" s="536"/>
      <c r="AK322" s="538"/>
      <c r="AL322" s="12"/>
      <c r="AM322" s="536"/>
      <c r="AN322" s="536"/>
      <c r="AO322" s="547"/>
      <c r="AP322" s="536"/>
      <c r="AQ322" s="538"/>
      <c r="AR322" s="530"/>
    </row>
    <row r="323" spans="1:44" ht="56.25">
      <c r="A323" s="536">
        <v>163</v>
      </c>
      <c r="B323" s="536">
        <v>745183</v>
      </c>
      <c r="C323" s="546" t="s">
        <v>287</v>
      </c>
      <c r="D323" s="547">
        <v>2.23</v>
      </c>
      <c r="E323" s="537">
        <v>36115</v>
      </c>
      <c r="F323" s="548">
        <v>2.23</v>
      </c>
      <c r="G323" s="537">
        <v>36115</v>
      </c>
      <c r="H323" s="539"/>
      <c r="I323" s="312"/>
      <c r="J323" s="536"/>
      <c r="K323" s="42"/>
      <c r="L323" s="50"/>
      <c r="M323" s="537"/>
      <c r="N323" s="538"/>
      <c r="O323" s="536"/>
      <c r="P323" s="536"/>
      <c r="Q323" s="547"/>
      <c r="R323" s="536"/>
      <c r="S323" s="725"/>
      <c r="T323" s="12"/>
      <c r="U323" s="536"/>
      <c r="V323" s="536"/>
      <c r="W323" s="547"/>
      <c r="X323" s="536"/>
      <c r="Y323" s="537"/>
      <c r="Z323" s="12"/>
      <c r="AA323" s="536"/>
      <c r="AB323" s="536"/>
      <c r="AC323" s="547"/>
      <c r="AD323" s="536"/>
      <c r="AE323" s="537"/>
      <c r="AF323" s="12"/>
      <c r="AG323" s="536"/>
      <c r="AH323" s="536"/>
      <c r="AI323" s="547"/>
      <c r="AJ323" s="536"/>
      <c r="AK323" s="538"/>
      <c r="AL323" s="12"/>
      <c r="AM323" s="536"/>
      <c r="AN323" s="536" t="s">
        <v>93</v>
      </c>
      <c r="AO323" s="547">
        <v>1</v>
      </c>
      <c r="AP323" s="536" t="s">
        <v>118</v>
      </c>
      <c r="AQ323" s="537">
        <v>50</v>
      </c>
      <c r="AR323" s="530"/>
    </row>
    <row r="324" spans="1:44" ht="18.75">
      <c r="A324" s="1008">
        <v>164</v>
      </c>
      <c r="B324" s="1008">
        <v>737874</v>
      </c>
      <c r="C324" s="1025" t="s">
        <v>288</v>
      </c>
      <c r="D324" s="1024">
        <v>0.22</v>
      </c>
      <c r="E324" s="1017">
        <v>1450</v>
      </c>
      <c r="F324" s="1018">
        <v>0.22</v>
      </c>
      <c r="G324" s="1017">
        <v>1450</v>
      </c>
      <c r="H324" s="1019" t="s">
        <v>60</v>
      </c>
      <c r="I324" s="971" t="s">
        <v>2737</v>
      </c>
      <c r="J324" s="1020" t="s">
        <v>114</v>
      </c>
      <c r="K324" s="558">
        <v>0.22</v>
      </c>
      <c r="L324" s="553" t="s">
        <v>17</v>
      </c>
      <c r="M324" s="1017">
        <v>1746.9132</v>
      </c>
      <c r="N324" s="538"/>
      <c r="O324" s="536"/>
      <c r="P324" s="536"/>
      <c r="Q324" s="547"/>
      <c r="R324" s="536"/>
      <c r="S324" s="725"/>
      <c r="T324" s="12"/>
      <c r="U324" s="536"/>
      <c r="V324" s="536"/>
      <c r="W324" s="547"/>
      <c r="X324" s="536"/>
      <c r="Y324" s="537"/>
      <c r="Z324" s="12"/>
      <c r="AA324" s="536"/>
      <c r="AB324" s="536"/>
      <c r="AC324" s="547"/>
      <c r="AD324" s="536"/>
      <c r="AE324" s="537"/>
      <c r="AF324" s="12"/>
      <c r="AG324" s="536"/>
      <c r="AH324" s="536"/>
      <c r="AI324" s="547"/>
      <c r="AJ324" s="536"/>
      <c r="AK324" s="538"/>
      <c r="AL324" s="12"/>
      <c r="AM324" s="536"/>
      <c r="AN324" s="536"/>
      <c r="AO324" s="547"/>
      <c r="AP324" s="536"/>
      <c r="AQ324" s="538"/>
      <c r="AR324" s="530"/>
    </row>
    <row r="325" spans="1:44" ht="18.75">
      <c r="A325" s="1008"/>
      <c r="B325" s="1008"/>
      <c r="C325" s="1025"/>
      <c r="D325" s="1024"/>
      <c r="E325" s="1017"/>
      <c r="F325" s="1018"/>
      <c r="G325" s="1017"/>
      <c r="H325" s="1019"/>
      <c r="I325" s="971"/>
      <c r="J325" s="1020"/>
      <c r="K325" s="51">
        <v>1450</v>
      </c>
      <c r="L325" s="43" t="s">
        <v>32</v>
      </c>
      <c r="M325" s="1017"/>
      <c r="N325" s="538"/>
      <c r="O325" s="536"/>
      <c r="P325" s="536"/>
      <c r="Q325" s="547"/>
      <c r="R325" s="536"/>
      <c r="S325" s="725"/>
      <c r="T325" s="12"/>
      <c r="U325" s="536"/>
      <c r="V325" s="536"/>
      <c r="W325" s="547"/>
      <c r="X325" s="536"/>
      <c r="Y325" s="537"/>
      <c r="Z325" s="12"/>
      <c r="AA325" s="536"/>
      <c r="AB325" s="536"/>
      <c r="AC325" s="547"/>
      <c r="AD325" s="536"/>
      <c r="AE325" s="537"/>
      <c r="AF325" s="12"/>
      <c r="AG325" s="536"/>
      <c r="AH325" s="536"/>
      <c r="AI325" s="547"/>
      <c r="AJ325" s="536"/>
      <c r="AK325" s="538"/>
      <c r="AL325" s="12"/>
      <c r="AM325" s="536"/>
      <c r="AN325" s="536"/>
      <c r="AO325" s="547"/>
      <c r="AP325" s="536"/>
      <c r="AQ325" s="538"/>
      <c r="AR325" s="530"/>
    </row>
    <row r="326" spans="1:44" ht="33.75" customHeight="1">
      <c r="A326" s="1008">
        <v>165</v>
      </c>
      <c r="B326" s="1008">
        <v>739789</v>
      </c>
      <c r="C326" s="1025" t="s">
        <v>289</v>
      </c>
      <c r="D326" s="1024">
        <v>0.53</v>
      </c>
      <c r="E326" s="1017">
        <v>4576</v>
      </c>
      <c r="F326" s="1018">
        <v>0.53</v>
      </c>
      <c r="G326" s="1017">
        <v>4576</v>
      </c>
      <c r="H326" s="539"/>
      <c r="I326" s="312"/>
      <c r="J326" s="536"/>
      <c r="K326" s="42"/>
      <c r="L326" s="50"/>
      <c r="M326" s="537"/>
      <c r="N326" s="1019" t="s">
        <v>60</v>
      </c>
      <c r="O326" s="1019" t="s">
        <v>2741</v>
      </c>
      <c r="P326" s="1020" t="s">
        <v>114</v>
      </c>
      <c r="Q326" s="558">
        <v>0.52600000000000002</v>
      </c>
      <c r="R326" s="553" t="s">
        <v>17</v>
      </c>
      <c r="S326" s="1034">
        <f>10184.77/7954*Q327</f>
        <v>5859.3798742770941</v>
      </c>
      <c r="T326" s="12"/>
      <c r="U326" s="536"/>
      <c r="V326" s="536"/>
      <c r="W326" s="547"/>
      <c r="X326" s="536"/>
      <c r="Y326" s="537"/>
      <c r="Z326" s="12"/>
      <c r="AA326" s="536"/>
      <c r="AB326" s="536"/>
      <c r="AC326" s="547"/>
      <c r="AD326" s="536"/>
      <c r="AE326" s="537"/>
      <c r="AF326" s="12"/>
      <c r="AG326" s="536"/>
      <c r="AH326" s="536"/>
      <c r="AI326" s="547"/>
      <c r="AJ326" s="536"/>
      <c r="AK326" s="538"/>
      <c r="AL326" s="12"/>
      <c r="AM326" s="536"/>
      <c r="AN326" s="536"/>
      <c r="AO326" s="547"/>
      <c r="AP326" s="536"/>
      <c r="AQ326" s="538"/>
      <c r="AR326" s="530"/>
    </row>
    <row r="327" spans="1:44" ht="33.75" customHeight="1">
      <c r="A327" s="1008"/>
      <c r="B327" s="1008"/>
      <c r="C327" s="1025"/>
      <c r="D327" s="1024"/>
      <c r="E327" s="1017"/>
      <c r="F327" s="1018"/>
      <c r="G327" s="1017"/>
      <c r="H327" s="539"/>
      <c r="I327" s="312"/>
      <c r="J327" s="536"/>
      <c r="K327" s="42"/>
      <c r="L327" s="50"/>
      <c r="M327" s="537"/>
      <c r="N327" s="1019"/>
      <c r="O327" s="1019"/>
      <c r="P327" s="1020"/>
      <c r="Q327" s="51">
        <v>4576</v>
      </c>
      <c r="R327" s="43" t="s">
        <v>32</v>
      </c>
      <c r="S327" s="1035"/>
      <c r="T327" s="12"/>
      <c r="U327" s="536"/>
      <c r="V327" s="536"/>
      <c r="W327" s="547"/>
      <c r="X327" s="536"/>
      <c r="Y327" s="537"/>
      <c r="Z327" s="12"/>
      <c r="AA327" s="536"/>
      <c r="AB327" s="536"/>
      <c r="AC327" s="547"/>
      <c r="AD327" s="536"/>
      <c r="AE327" s="537"/>
      <c r="AF327" s="12"/>
      <c r="AG327" s="536"/>
      <c r="AH327" s="536"/>
      <c r="AI327" s="547"/>
      <c r="AJ327" s="536"/>
      <c r="AK327" s="538"/>
      <c r="AL327" s="12"/>
      <c r="AM327" s="536"/>
      <c r="AN327" s="536"/>
      <c r="AO327" s="547"/>
      <c r="AP327" s="536"/>
      <c r="AQ327" s="538"/>
      <c r="AR327" s="530"/>
    </row>
    <row r="328" spans="1:44" ht="18.75">
      <c r="A328" s="1008">
        <v>166</v>
      </c>
      <c r="B328" s="1008">
        <v>738908</v>
      </c>
      <c r="C328" s="1025" t="s">
        <v>290</v>
      </c>
      <c r="D328" s="1024">
        <v>1.1879999999999999</v>
      </c>
      <c r="E328" s="1017">
        <v>16749</v>
      </c>
      <c r="F328" s="1018">
        <v>1.1879999999999999</v>
      </c>
      <c r="G328" s="1017">
        <v>16749</v>
      </c>
      <c r="H328" s="1019" t="s">
        <v>2738</v>
      </c>
      <c r="I328" s="971" t="s">
        <v>2739</v>
      </c>
      <c r="J328" s="1020" t="s">
        <v>114</v>
      </c>
      <c r="K328" s="558">
        <f>F328/G328*K329</f>
        <v>0.53402901665771085</v>
      </c>
      <c r="L328" s="553" t="s">
        <v>17</v>
      </c>
      <c r="M328" s="1017">
        <v>8748.4118400000007</v>
      </c>
      <c r="N328" s="538"/>
      <c r="O328" s="536"/>
      <c r="P328" s="536"/>
      <c r="Q328" s="547"/>
      <c r="R328" s="536"/>
      <c r="S328" s="725"/>
      <c r="T328" s="12"/>
      <c r="U328" s="536"/>
      <c r="V328" s="536"/>
      <c r="W328" s="547"/>
      <c r="X328" s="536"/>
      <c r="Y328" s="537"/>
      <c r="Z328" s="12"/>
      <c r="AA328" s="536"/>
      <c r="AB328" s="536"/>
      <c r="AC328" s="547"/>
      <c r="AD328" s="536"/>
      <c r="AE328" s="537"/>
      <c r="AF328" s="12"/>
      <c r="AG328" s="536"/>
      <c r="AH328" s="536"/>
      <c r="AI328" s="547"/>
      <c r="AJ328" s="536"/>
      <c r="AK328" s="538"/>
      <c r="AL328" s="12"/>
      <c r="AM328" s="536"/>
      <c r="AN328" s="536"/>
      <c r="AO328" s="547"/>
      <c r="AP328" s="536"/>
      <c r="AQ328" s="538"/>
      <c r="AR328" s="530"/>
    </row>
    <row r="329" spans="1:44" ht="18.75">
      <c r="A329" s="1008"/>
      <c r="B329" s="1008"/>
      <c r="C329" s="1025"/>
      <c r="D329" s="1024"/>
      <c r="E329" s="1017"/>
      <c r="F329" s="1018"/>
      <c r="G329" s="1017"/>
      <c r="H329" s="1019"/>
      <c r="I329" s="971"/>
      <c r="J329" s="1020"/>
      <c r="K329" s="51">
        <v>7529</v>
      </c>
      <c r="L329" s="43" t="s">
        <v>32</v>
      </c>
      <c r="M329" s="1017"/>
      <c r="N329" s="538"/>
      <c r="O329" s="536"/>
      <c r="P329" s="536"/>
      <c r="Q329" s="547"/>
      <c r="R329" s="536"/>
      <c r="S329" s="725"/>
      <c r="T329" s="12"/>
      <c r="U329" s="536"/>
      <c r="V329" s="536"/>
      <c r="W329" s="547"/>
      <c r="X329" s="536"/>
      <c r="Y329" s="537"/>
      <c r="Z329" s="12"/>
      <c r="AA329" s="536"/>
      <c r="AB329" s="536"/>
      <c r="AC329" s="547"/>
      <c r="AD329" s="536"/>
      <c r="AE329" s="537"/>
      <c r="AF329" s="12"/>
      <c r="AG329" s="536"/>
      <c r="AH329" s="536"/>
      <c r="AI329" s="547"/>
      <c r="AJ329" s="536"/>
      <c r="AK329" s="538"/>
      <c r="AL329" s="12"/>
      <c r="AM329" s="536"/>
      <c r="AN329" s="536"/>
      <c r="AO329" s="547"/>
      <c r="AP329" s="536"/>
      <c r="AQ329" s="538"/>
      <c r="AR329" s="530"/>
    </row>
    <row r="330" spans="1:44" ht="18.75">
      <c r="A330" s="1008">
        <v>167</v>
      </c>
      <c r="B330" s="1008">
        <v>737873</v>
      </c>
      <c r="C330" s="1025" t="s">
        <v>291</v>
      </c>
      <c r="D330" s="1024">
        <v>0.1</v>
      </c>
      <c r="E330" s="1017">
        <v>600</v>
      </c>
      <c r="F330" s="1018">
        <v>0.1</v>
      </c>
      <c r="G330" s="1017">
        <v>600</v>
      </c>
      <c r="H330" s="1008" t="s">
        <v>60</v>
      </c>
      <c r="I330" s="312" t="s">
        <v>2721</v>
      </c>
      <c r="J330" s="1020" t="s">
        <v>114</v>
      </c>
      <c r="K330" s="558">
        <v>0.1</v>
      </c>
      <c r="L330" s="553" t="s">
        <v>17</v>
      </c>
      <c r="M330" s="1017">
        <v>871.25825999999995</v>
      </c>
      <c r="N330" s="538"/>
      <c r="O330" s="536"/>
      <c r="P330" s="536"/>
      <c r="Q330" s="547"/>
      <c r="R330" s="536"/>
      <c r="S330" s="725"/>
      <c r="T330" s="12"/>
      <c r="U330" s="536"/>
      <c r="V330" s="536"/>
      <c r="W330" s="547"/>
      <c r="X330" s="536"/>
      <c r="Y330" s="537"/>
      <c r="Z330" s="12"/>
      <c r="AA330" s="536"/>
      <c r="AB330" s="536"/>
      <c r="AC330" s="547"/>
      <c r="AD330" s="536"/>
      <c r="AE330" s="537"/>
      <c r="AF330" s="12"/>
      <c r="AG330" s="536"/>
      <c r="AH330" s="536"/>
      <c r="AI330" s="547"/>
      <c r="AJ330" s="536"/>
      <c r="AK330" s="538"/>
      <c r="AL330" s="12"/>
      <c r="AM330" s="536"/>
      <c r="AN330" s="536"/>
      <c r="AO330" s="547"/>
      <c r="AP330" s="536"/>
      <c r="AQ330" s="538"/>
      <c r="AR330" s="530"/>
    </row>
    <row r="331" spans="1:44" ht="18.75">
      <c r="A331" s="1008"/>
      <c r="B331" s="1008"/>
      <c r="C331" s="1025"/>
      <c r="D331" s="1024"/>
      <c r="E331" s="1017"/>
      <c r="F331" s="1018"/>
      <c r="G331" s="1017"/>
      <c r="H331" s="1008"/>
      <c r="I331" s="312"/>
      <c r="J331" s="1020"/>
      <c r="K331" s="51">
        <v>600</v>
      </c>
      <c r="L331" s="43" t="s">
        <v>32</v>
      </c>
      <c r="M331" s="1017"/>
      <c r="N331" s="538"/>
      <c r="O331" s="536"/>
      <c r="P331" s="536"/>
      <c r="Q331" s="547"/>
      <c r="R331" s="536"/>
      <c r="S331" s="725"/>
      <c r="T331" s="12"/>
      <c r="U331" s="536"/>
      <c r="V331" s="536"/>
      <c r="W331" s="547"/>
      <c r="X331" s="536"/>
      <c r="Y331" s="537"/>
      <c r="Z331" s="12"/>
      <c r="AA331" s="536"/>
      <c r="AB331" s="536"/>
      <c r="AC331" s="547"/>
      <c r="AD331" s="536"/>
      <c r="AE331" s="537"/>
      <c r="AF331" s="12"/>
      <c r="AG331" s="536"/>
      <c r="AH331" s="536"/>
      <c r="AI331" s="547"/>
      <c r="AJ331" s="536"/>
      <c r="AK331" s="538"/>
      <c r="AL331" s="12"/>
      <c r="AM331" s="536"/>
      <c r="AN331" s="536"/>
      <c r="AO331" s="547"/>
      <c r="AP331" s="536"/>
      <c r="AQ331" s="538"/>
      <c r="AR331" s="530"/>
    </row>
    <row r="332" spans="1:44" ht="18.75">
      <c r="A332" s="1008">
        <v>168</v>
      </c>
      <c r="B332" s="1008">
        <v>741625</v>
      </c>
      <c r="C332" s="1025" t="s">
        <v>292</v>
      </c>
      <c r="D332" s="1024">
        <v>0.16</v>
      </c>
      <c r="E332" s="1017">
        <v>1424</v>
      </c>
      <c r="F332" s="1018">
        <v>0.16</v>
      </c>
      <c r="G332" s="1017">
        <v>1424</v>
      </c>
      <c r="H332" s="1019" t="s">
        <v>60</v>
      </c>
      <c r="I332" s="971" t="s">
        <v>2598</v>
      </c>
      <c r="J332" s="1020" t="s">
        <v>114</v>
      </c>
      <c r="K332" s="558">
        <v>0.16</v>
      </c>
      <c r="L332" s="553" t="s">
        <v>17</v>
      </c>
      <c r="M332" s="1017">
        <v>1740.7533599999999</v>
      </c>
      <c r="N332" s="538"/>
      <c r="O332" s="536"/>
      <c r="P332" s="536"/>
      <c r="Q332" s="547"/>
      <c r="R332" s="536"/>
      <c r="S332" s="725"/>
      <c r="T332" s="12"/>
      <c r="U332" s="536"/>
      <c r="V332" s="536"/>
      <c r="W332" s="547"/>
      <c r="X332" s="536"/>
      <c r="Y332" s="537"/>
      <c r="Z332" s="12"/>
      <c r="AA332" s="536"/>
      <c r="AB332" s="536"/>
      <c r="AC332" s="547"/>
      <c r="AD332" s="536"/>
      <c r="AE332" s="537"/>
      <c r="AF332" s="12"/>
      <c r="AG332" s="536"/>
      <c r="AH332" s="536"/>
      <c r="AI332" s="547"/>
      <c r="AJ332" s="536"/>
      <c r="AK332" s="538"/>
      <c r="AL332" s="12"/>
      <c r="AM332" s="536"/>
      <c r="AN332" s="536"/>
      <c r="AO332" s="547"/>
      <c r="AP332" s="536"/>
      <c r="AQ332" s="538"/>
      <c r="AR332" s="530"/>
    </row>
    <row r="333" spans="1:44" ht="18.75">
      <c r="A333" s="1008"/>
      <c r="B333" s="1008"/>
      <c r="C333" s="1025"/>
      <c r="D333" s="1024"/>
      <c r="E333" s="1017"/>
      <c r="F333" s="1018"/>
      <c r="G333" s="1017"/>
      <c r="H333" s="1019"/>
      <c r="I333" s="971"/>
      <c r="J333" s="1020"/>
      <c r="K333" s="51">
        <v>1424</v>
      </c>
      <c r="L333" s="43" t="s">
        <v>32</v>
      </c>
      <c r="M333" s="1017"/>
      <c r="N333" s="538"/>
      <c r="O333" s="536"/>
      <c r="P333" s="536"/>
      <c r="Q333" s="547"/>
      <c r="R333" s="536"/>
      <c r="S333" s="725"/>
      <c r="T333" s="12"/>
      <c r="U333" s="536"/>
      <c r="V333" s="536"/>
      <c r="W333" s="547"/>
      <c r="X333" s="536"/>
      <c r="Y333" s="537"/>
      <c r="Z333" s="12"/>
      <c r="AA333" s="536"/>
      <c r="AB333" s="536"/>
      <c r="AC333" s="547"/>
      <c r="AD333" s="536"/>
      <c r="AE333" s="537"/>
      <c r="AF333" s="12"/>
      <c r="AG333" s="536"/>
      <c r="AH333" s="536"/>
      <c r="AI333" s="547"/>
      <c r="AJ333" s="536"/>
      <c r="AK333" s="538"/>
      <c r="AL333" s="12"/>
      <c r="AM333" s="536"/>
      <c r="AN333" s="536"/>
      <c r="AO333" s="547"/>
      <c r="AP333" s="536"/>
      <c r="AQ333" s="538"/>
      <c r="AR333" s="530"/>
    </row>
    <row r="334" spans="1:44" ht="18.75">
      <c r="A334" s="1008">
        <v>169</v>
      </c>
      <c r="B334" s="1008">
        <v>741744</v>
      </c>
      <c r="C334" s="1025" t="s">
        <v>293</v>
      </c>
      <c r="D334" s="1024">
        <v>0.4</v>
      </c>
      <c r="E334" s="1017">
        <v>2965</v>
      </c>
      <c r="F334" s="1018">
        <v>0.4</v>
      </c>
      <c r="G334" s="1017">
        <v>2965</v>
      </c>
      <c r="H334" s="1019" t="s">
        <v>60</v>
      </c>
      <c r="I334" s="971" t="s">
        <v>2713</v>
      </c>
      <c r="J334" s="1020" t="s">
        <v>114</v>
      </c>
      <c r="K334" s="558">
        <v>0.4</v>
      </c>
      <c r="L334" s="553" t="s">
        <v>17</v>
      </c>
      <c r="M334" s="1017">
        <v>2828.5957199999998</v>
      </c>
      <c r="N334" s="538"/>
      <c r="O334" s="536"/>
      <c r="P334" s="536"/>
      <c r="Q334" s="547"/>
      <c r="R334" s="536"/>
      <c r="S334" s="725"/>
      <c r="T334" s="12"/>
      <c r="U334" s="536"/>
      <c r="V334" s="536"/>
      <c r="W334" s="547"/>
      <c r="X334" s="536"/>
      <c r="Y334" s="537"/>
      <c r="Z334" s="12"/>
      <c r="AA334" s="536"/>
      <c r="AB334" s="536"/>
      <c r="AC334" s="547"/>
      <c r="AD334" s="536"/>
      <c r="AE334" s="537"/>
      <c r="AF334" s="12"/>
      <c r="AG334" s="536"/>
      <c r="AH334" s="536"/>
      <c r="AI334" s="547"/>
      <c r="AJ334" s="536"/>
      <c r="AK334" s="538"/>
      <c r="AL334" s="12"/>
      <c r="AM334" s="536"/>
      <c r="AN334" s="536"/>
      <c r="AO334" s="547"/>
      <c r="AP334" s="536"/>
      <c r="AQ334" s="538"/>
      <c r="AR334" s="530"/>
    </row>
    <row r="335" spans="1:44" ht="18.75">
      <c r="A335" s="1008"/>
      <c r="B335" s="1008"/>
      <c r="C335" s="1025"/>
      <c r="D335" s="1024"/>
      <c r="E335" s="1017"/>
      <c r="F335" s="1018"/>
      <c r="G335" s="1017"/>
      <c r="H335" s="1019"/>
      <c r="I335" s="971"/>
      <c r="J335" s="1020"/>
      <c r="K335" s="51">
        <v>2409</v>
      </c>
      <c r="L335" s="43" t="s">
        <v>32</v>
      </c>
      <c r="M335" s="1017"/>
      <c r="N335" s="538"/>
      <c r="O335" s="536"/>
      <c r="P335" s="536"/>
      <c r="Q335" s="547"/>
      <c r="R335" s="536"/>
      <c r="S335" s="725"/>
      <c r="T335" s="12"/>
      <c r="U335" s="536"/>
      <c r="V335" s="536"/>
      <c r="W335" s="547"/>
      <c r="X335" s="536"/>
      <c r="Y335" s="537"/>
      <c r="Z335" s="12"/>
      <c r="AA335" s="536"/>
      <c r="AB335" s="536"/>
      <c r="AC335" s="547"/>
      <c r="AD335" s="536"/>
      <c r="AE335" s="537"/>
      <c r="AF335" s="12"/>
      <c r="AG335" s="536"/>
      <c r="AH335" s="536"/>
      <c r="AI335" s="547"/>
      <c r="AJ335" s="536"/>
      <c r="AK335" s="538"/>
      <c r="AL335" s="12"/>
      <c r="AM335" s="536"/>
      <c r="AN335" s="536"/>
      <c r="AO335" s="547"/>
      <c r="AP335" s="536"/>
      <c r="AQ335" s="538"/>
      <c r="AR335" s="530"/>
    </row>
    <row r="336" spans="1:44" ht="18.75">
      <c r="A336" s="1008">
        <v>170</v>
      </c>
      <c r="B336" s="1008">
        <v>740109</v>
      </c>
      <c r="C336" s="1025" t="s">
        <v>295</v>
      </c>
      <c r="D336" s="1024">
        <v>0.3</v>
      </c>
      <c r="E336" s="1017">
        <v>2960</v>
      </c>
      <c r="F336" s="1018">
        <v>0.3</v>
      </c>
      <c r="G336" s="1017">
        <v>2960</v>
      </c>
      <c r="H336" s="1019" t="s">
        <v>60</v>
      </c>
      <c r="I336" s="971" t="s">
        <v>2697</v>
      </c>
      <c r="J336" s="1020" t="s">
        <v>114</v>
      </c>
      <c r="K336" s="558">
        <v>0.3</v>
      </c>
      <c r="L336" s="553" t="s">
        <v>17</v>
      </c>
      <c r="M336" s="1017">
        <v>3067.0465199999999</v>
      </c>
      <c r="N336" s="538"/>
      <c r="O336" s="536"/>
      <c r="P336" s="536"/>
      <c r="Q336" s="547"/>
      <c r="R336" s="536"/>
      <c r="S336" s="725"/>
      <c r="T336" s="12"/>
      <c r="U336" s="536"/>
      <c r="V336" s="536"/>
      <c r="W336" s="547"/>
      <c r="X336" s="536"/>
      <c r="Y336" s="537"/>
      <c r="Z336" s="12"/>
      <c r="AA336" s="536"/>
      <c r="AB336" s="536"/>
      <c r="AC336" s="547"/>
      <c r="AD336" s="536"/>
      <c r="AE336" s="537"/>
      <c r="AF336" s="12"/>
      <c r="AG336" s="536"/>
      <c r="AH336" s="536"/>
      <c r="AI336" s="547"/>
      <c r="AJ336" s="536"/>
      <c r="AK336" s="538"/>
      <c r="AL336" s="12"/>
      <c r="AM336" s="536"/>
      <c r="AN336" s="536"/>
      <c r="AO336" s="547"/>
      <c r="AP336" s="536"/>
      <c r="AQ336" s="538"/>
      <c r="AR336" s="530"/>
    </row>
    <row r="337" spans="1:44" ht="18.75">
      <c r="A337" s="1008"/>
      <c r="B337" s="1008"/>
      <c r="C337" s="1025"/>
      <c r="D337" s="1024"/>
      <c r="E337" s="1017"/>
      <c r="F337" s="1018"/>
      <c r="G337" s="1017"/>
      <c r="H337" s="1019"/>
      <c r="I337" s="971"/>
      <c r="J337" s="1020"/>
      <c r="K337" s="51">
        <v>2600</v>
      </c>
      <c r="L337" s="43" t="s">
        <v>32</v>
      </c>
      <c r="M337" s="1017"/>
      <c r="N337" s="538"/>
      <c r="O337" s="536"/>
      <c r="P337" s="536"/>
      <c r="Q337" s="547"/>
      <c r="R337" s="536"/>
      <c r="S337" s="725"/>
      <c r="T337" s="12"/>
      <c r="U337" s="536"/>
      <c r="V337" s="536"/>
      <c r="W337" s="547"/>
      <c r="X337" s="536"/>
      <c r="Y337" s="537"/>
      <c r="Z337" s="12"/>
      <c r="AA337" s="536"/>
      <c r="AB337" s="536"/>
      <c r="AC337" s="547"/>
      <c r="AD337" s="536"/>
      <c r="AE337" s="537"/>
      <c r="AF337" s="12"/>
      <c r="AG337" s="536"/>
      <c r="AH337" s="536"/>
      <c r="AI337" s="547"/>
      <c r="AJ337" s="536"/>
      <c r="AK337" s="538"/>
      <c r="AL337" s="12"/>
      <c r="AM337" s="536"/>
      <c r="AN337" s="536"/>
      <c r="AO337" s="547"/>
      <c r="AP337" s="536"/>
      <c r="AQ337" s="538"/>
      <c r="AR337" s="530"/>
    </row>
    <row r="338" spans="1:44" ht="18.75">
      <c r="A338" s="1008">
        <v>171</v>
      </c>
      <c r="B338" s="1008">
        <v>742058</v>
      </c>
      <c r="C338" s="1025" t="s">
        <v>296</v>
      </c>
      <c r="D338" s="1024">
        <v>0.53</v>
      </c>
      <c r="E338" s="1017">
        <v>4646</v>
      </c>
      <c r="F338" s="1018">
        <v>0.53</v>
      </c>
      <c r="G338" s="1017">
        <v>4646</v>
      </c>
      <c r="H338" s="1019" t="s">
        <v>2740</v>
      </c>
      <c r="I338" s="971" t="s">
        <v>2741</v>
      </c>
      <c r="J338" s="1020" t="s">
        <v>114</v>
      </c>
      <c r="K338" s="558">
        <v>0.2</v>
      </c>
      <c r="L338" s="553" t="s">
        <v>17</v>
      </c>
      <c r="M338" s="1017">
        <v>1954.35186</v>
      </c>
      <c r="N338" s="319"/>
      <c r="O338" s="319"/>
      <c r="P338" s="1028"/>
      <c r="Q338" s="1029"/>
      <c r="R338" s="1028"/>
      <c r="S338" s="1040"/>
      <c r="T338" s="12"/>
      <c r="U338" s="536"/>
      <c r="V338" s="536"/>
      <c r="W338" s="547"/>
      <c r="X338" s="536"/>
      <c r="Y338" s="537"/>
      <c r="Z338" s="12"/>
      <c r="AA338" s="536"/>
      <c r="AB338" s="536"/>
      <c r="AC338" s="547"/>
      <c r="AD338" s="536"/>
      <c r="AE338" s="537"/>
      <c r="AF338" s="12"/>
      <c r="AG338" s="536"/>
      <c r="AH338" s="536"/>
      <c r="AI338" s="547"/>
      <c r="AJ338" s="536"/>
      <c r="AK338" s="538"/>
      <c r="AL338" s="12"/>
      <c r="AM338" s="536"/>
      <c r="AN338" s="536"/>
      <c r="AO338" s="547"/>
      <c r="AP338" s="536"/>
      <c r="AQ338" s="538"/>
      <c r="AR338" s="530"/>
    </row>
    <row r="339" spans="1:44" ht="18.75">
      <c r="A339" s="1008"/>
      <c r="B339" s="1008"/>
      <c r="C339" s="1025"/>
      <c r="D339" s="1024"/>
      <c r="E339" s="1017"/>
      <c r="F339" s="1018"/>
      <c r="G339" s="1017"/>
      <c r="H339" s="1019"/>
      <c r="I339" s="971"/>
      <c r="J339" s="1020"/>
      <c r="K339" s="51">
        <v>1675</v>
      </c>
      <c r="L339" s="43" t="s">
        <v>32</v>
      </c>
      <c r="M339" s="1017"/>
      <c r="N339" s="319"/>
      <c r="O339" s="319"/>
      <c r="P339" s="1028"/>
      <c r="Q339" s="1029"/>
      <c r="R339" s="1028"/>
      <c r="S339" s="1041"/>
      <c r="T339" s="12"/>
      <c r="U339" s="536"/>
      <c r="V339" s="536"/>
      <c r="W339" s="547"/>
      <c r="X339" s="536"/>
      <c r="Y339" s="537"/>
      <c r="Z339" s="12"/>
      <c r="AA339" s="536"/>
      <c r="AB339" s="536"/>
      <c r="AC339" s="547"/>
      <c r="AD339" s="536"/>
      <c r="AE339" s="537"/>
      <c r="AF339" s="12"/>
      <c r="AG339" s="536"/>
      <c r="AH339" s="536"/>
      <c r="AI339" s="547"/>
      <c r="AJ339" s="536"/>
      <c r="AK339" s="538"/>
      <c r="AL339" s="12"/>
      <c r="AM339" s="536"/>
      <c r="AN339" s="536"/>
      <c r="AO339" s="547"/>
      <c r="AP339" s="536"/>
      <c r="AQ339" s="538"/>
      <c r="AR339" s="530"/>
    </row>
    <row r="340" spans="1:44" ht="18.75">
      <c r="A340" s="1008">
        <v>172</v>
      </c>
      <c r="B340" s="1008">
        <v>742998</v>
      </c>
      <c r="C340" s="1025" t="s">
        <v>297</v>
      </c>
      <c r="D340" s="1024">
        <v>0.61</v>
      </c>
      <c r="E340" s="1017">
        <v>5050</v>
      </c>
      <c r="F340" s="1018">
        <v>0.61</v>
      </c>
      <c r="G340" s="1017">
        <v>5050</v>
      </c>
      <c r="H340" s="1019" t="s">
        <v>60</v>
      </c>
      <c r="I340" s="971" t="s">
        <v>2742</v>
      </c>
      <c r="J340" s="1020" t="s">
        <v>114</v>
      </c>
      <c r="K340" s="558">
        <v>0.61</v>
      </c>
      <c r="L340" s="553" t="s">
        <v>17</v>
      </c>
      <c r="M340" s="1017">
        <v>5510.8483800000004</v>
      </c>
      <c r="N340" s="538"/>
      <c r="O340" s="536"/>
      <c r="P340" s="536"/>
      <c r="Q340" s="547"/>
      <c r="R340" s="536"/>
      <c r="S340" s="725"/>
      <c r="T340" s="12"/>
      <c r="U340" s="536"/>
      <c r="V340" s="536"/>
      <c r="W340" s="547"/>
      <c r="X340" s="536"/>
      <c r="Y340" s="537"/>
      <c r="Z340" s="12"/>
      <c r="AA340" s="536"/>
      <c r="AB340" s="536"/>
      <c r="AC340" s="547"/>
      <c r="AD340" s="536"/>
      <c r="AE340" s="537"/>
      <c r="AF340" s="12"/>
      <c r="AG340" s="536"/>
      <c r="AH340" s="536"/>
      <c r="AI340" s="547"/>
      <c r="AJ340" s="536"/>
      <c r="AK340" s="538"/>
      <c r="AL340" s="12"/>
      <c r="AM340" s="536"/>
      <c r="AN340" s="536"/>
      <c r="AO340" s="547"/>
      <c r="AP340" s="536"/>
      <c r="AQ340" s="538"/>
      <c r="AR340" s="530"/>
    </row>
    <row r="341" spans="1:44" ht="18.75">
      <c r="A341" s="1008"/>
      <c r="B341" s="1008"/>
      <c r="C341" s="1025"/>
      <c r="D341" s="1024"/>
      <c r="E341" s="1017"/>
      <c r="F341" s="1018"/>
      <c r="G341" s="1017"/>
      <c r="H341" s="1019"/>
      <c r="I341" s="971"/>
      <c r="J341" s="1020"/>
      <c r="K341" s="51">
        <v>4469</v>
      </c>
      <c r="L341" s="43" t="s">
        <v>32</v>
      </c>
      <c r="M341" s="1017"/>
      <c r="N341" s="538"/>
      <c r="O341" s="536"/>
      <c r="P341" s="536"/>
      <c r="Q341" s="547"/>
      <c r="R341" s="536"/>
      <c r="S341" s="725"/>
      <c r="T341" s="12"/>
      <c r="U341" s="536"/>
      <c r="V341" s="536"/>
      <c r="W341" s="547"/>
      <c r="X341" s="536"/>
      <c r="Y341" s="537"/>
      <c r="Z341" s="12"/>
      <c r="AA341" s="536"/>
      <c r="AB341" s="536"/>
      <c r="AC341" s="547"/>
      <c r="AD341" s="536"/>
      <c r="AE341" s="537"/>
      <c r="AF341" s="12"/>
      <c r="AG341" s="536"/>
      <c r="AH341" s="536"/>
      <c r="AI341" s="547"/>
      <c r="AJ341" s="536"/>
      <c r="AK341" s="538"/>
      <c r="AL341" s="12"/>
      <c r="AM341" s="536"/>
      <c r="AN341" s="536"/>
      <c r="AO341" s="547"/>
      <c r="AP341" s="536"/>
      <c r="AQ341" s="538"/>
      <c r="AR341" s="530"/>
    </row>
    <row r="342" spans="1:44" ht="56.25">
      <c r="A342" s="1008">
        <v>173</v>
      </c>
      <c r="B342" s="1008">
        <v>739567</v>
      </c>
      <c r="C342" s="1025" t="s">
        <v>298</v>
      </c>
      <c r="D342" s="1024">
        <v>0.3</v>
      </c>
      <c r="E342" s="1017">
        <v>2786</v>
      </c>
      <c r="F342" s="1018">
        <v>0.3</v>
      </c>
      <c r="G342" s="1017">
        <v>2786</v>
      </c>
      <c r="H342" s="1019" t="s">
        <v>60</v>
      </c>
      <c r="I342" s="971" t="s">
        <v>2743</v>
      </c>
      <c r="J342" s="1020" t="s">
        <v>114</v>
      </c>
      <c r="K342" s="558">
        <v>0.3</v>
      </c>
      <c r="L342" s="553" t="s">
        <v>17</v>
      </c>
      <c r="M342" s="1017">
        <v>2933.30026</v>
      </c>
      <c r="N342" s="49" t="s">
        <v>2835</v>
      </c>
      <c r="O342" s="49" t="s">
        <v>2835</v>
      </c>
      <c r="P342" s="536" t="s">
        <v>120</v>
      </c>
      <c r="Q342" s="547">
        <v>1</v>
      </c>
      <c r="R342" s="536" t="s">
        <v>118</v>
      </c>
      <c r="S342" s="725">
        <v>300</v>
      </c>
      <c r="T342" s="12"/>
      <c r="U342" s="536"/>
      <c r="V342" s="536"/>
      <c r="W342" s="547"/>
      <c r="X342" s="536"/>
      <c r="Y342" s="537"/>
      <c r="Z342" s="1039"/>
      <c r="AA342" s="1039"/>
      <c r="AB342" s="1028"/>
      <c r="AC342" s="1029"/>
      <c r="AD342" s="1028"/>
      <c r="AE342" s="1033"/>
      <c r="AF342" s="12"/>
      <c r="AG342" s="536"/>
      <c r="AH342" s="536"/>
      <c r="AI342" s="547"/>
      <c r="AJ342" s="536"/>
      <c r="AK342" s="538"/>
      <c r="AL342" s="12"/>
      <c r="AM342" s="536"/>
      <c r="AN342" s="536"/>
      <c r="AO342" s="547"/>
      <c r="AP342" s="536"/>
      <c r="AQ342" s="538"/>
      <c r="AR342" s="530"/>
    </row>
    <row r="343" spans="1:44" ht="18.75">
      <c r="A343" s="1008"/>
      <c r="B343" s="1008"/>
      <c r="C343" s="1025"/>
      <c r="D343" s="1024"/>
      <c r="E343" s="1017"/>
      <c r="F343" s="1018"/>
      <c r="G343" s="1017"/>
      <c r="H343" s="1019"/>
      <c r="I343" s="971"/>
      <c r="J343" s="1020"/>
      <c r="K343" s="51">
        <v>2425</v>
      </c>
      <c r="L343" s="43" t="s">
        <v>32</v>
      </c>
      <c r="M343" s="1017"/>
      <c r="N343" s="538"/>
      <c r="O343" s="536"/>
      <c r="P343" s="536"/>
      <c r="Q343" s="547"/>
      <c r="R343" s="536"/>
      <c r="S343" s="725"/>
      <c r="T343" s="12"/>
      <c r="U343" s="536"/>
      <c r="V343" s="536"/>
      <c r="W343" s="547"/>
      <c r="X343" s="536"/>
      <c r="Y343" s="537"/>
      <c r="Z343" s="1039"/>
      <c r="AA343" s="1039"/>
      <c r="AB343" s="1028"/>
      <c r="AC343" s="1029"/>
      <c r="AD343" s="1028"/>
      <c r="AE343" s="1033"/>
      <c r="AF343" s="12"/>
      <c r="AG343" s="536"/>
      <c r="AH343" s="536"/>
      <c r="AI343" s="547"/>
      <c r="AJ343" s="536"/>
      <c r="AK343" s="538"/>
      <c r="AL343" s="12"/>
      <c r="AM343" s="536"/>
      <c r="AN343" s="536"/>
      <c r="AO343" s="547"/>
      <c r="AP343" s="536"/>
      <c r="AQ343" s="538"/>
      <c r="AR343" s="530"/>
    </row>
    <row r="344" spans="1:44" ht="56.25">
      <c r="A344" s="536">
        <v>174</v>
      </c>
      <c r="B344" s="536">
        <v>736137</v>
      </c>
      <c r="C344" s="546" t="s">
        <v>299</v>
      </c>
      <c r="D344" s="547">
        <v>0.81</v>
      </c>
      <c r="E344" s="537">
        <v>7483</v>
      </c>
      <c r="F344" s="548">
        <v>0.81</v>
      </c>
      <c r="G344" s="537">
        <v>7483</v>
      </c>
      <c r="H344" s="536"/>
      <c r="I344" s="312"/>
      <c r="J344" s="536"/>
      <c r="K344" s="42"/>
      <c r="L344" s="50"/>
      <c r="M344" s="537"/>
      <c r="N344" s="49" t="s">
        <v>2821</v>
      </c>
      <c r="O344" s="49" t="s">
        <v>2821</v>
      </c>
      <c r="P344" s="536" t="s">
        <v>120</v>
      </c>
      <c r="Q344" s="547">
        <v>1</v>
      </c>
      <c r="R344" s="536" t="s">
        <v>118</v>
      </c>
      <c r="S344" s="725">
        <v>950</v>
      </c>
      <c r="T344" s="12"/>
      <c r="U344" s="536"/>
      <c r="V344" s="536"/>
      <c r="W344" s="547"/>
      <c r="X344" s="536"/>
      <c r="Y344" s="537"/>
      <c r="Z344" s="1032"/>
      <c r="AA344" s="1032"/>
      <c r="AB344" s="555"/>
      <c r="AC344" s="556"/>
      <c r="AD344" s="555"/>
      <c r="AE344" s="557"/>
      <c r="AF344" s="12"/>
      <c r="AG344" s="536"/>
      <c r="AH344" s="536"/>
      <c r="AI344" s="547"/>
      <c r="AJ344" s="536"/>
      <c r="AK344" s="538"/>
      <c r="AL344" s="12"/>
      <c r="AM344" s="536"/>
      <c r="AN344" s="536"/>
      <c r="AO344" s="547"/>
      <c r="AP344" s="536"/>
      <c r="AQ344" s="538"/>
      <c r="AR344" s="530"/>
    </row>
    <row r="345" spans="1:44" ht="56.25">
      <c r="A345" s="536">
        <v>175</v>
      </c>
      <c r="B345" s="536">
        <v>2795118</v>
      </c>
      <c r="C345" s="546" t="s">
        <v>300</v>
      </c>
      <c r="D345" s="547">
        <v>1.6</v>
      </c>
      <c r="E345" s="537">
        <v>12019</v>
      </c>
      <c r="F345" s="548">
        <v>1.6</v>
      </c>
      <c r="G345" s="537">
        <v>12019</v>
      </c>
      <c r="H345" s="539"/>
      <c r="I345" s="312"/>
      <c r="J345" s="536"/>
      <c r="K345" s="42"/>
      <c r="L345" s="50"/>
      <c r="M345" s="537"/>
      <c r="N345" s="538"/>
      <c r="O345" s="536"/>
      <c r="P345" s="536"/>
      <c r="Q345" s="547"/>
      <c r="R345" s="536"/>
      <c r="S345" s="725"/>
      <c r="T345" s="12"/>
      <c r="U345" s="536"/>
      <c r="V345" s="536"/>
      <c r="W345" s="547"/>
      <c r="X345" s="536"/>
      <c r="Y345" s="537"/>
      <c r="Z345" s="12"/>
      <c r="AA345" s="536"/>
      <c r="AB345" s="536" t="s">
        <v>93</v>
      </c>
      <c r="AC345" s="547">
        <v>1</v>
      </c>
      <c r="AD345" s="536" t="s">
        <v>118</v>
      </c>
      <c r="AE345" s="537">
        <v>50</v>
      </c>
      <c r="AF345" s="12"/>
      <c r="AG345" s="536"/>
      <c r="AH345" s="536"/>
      <c r="AI345" s="547"/>
      <c r="AJ345" s="536"/>
      <c r="AK345" s="538"/>
      <c r="AL345" s="12"/>
      <c r="AM345" s="536"/>
      <c r="AN345" s="536"/>
      <c r="AO345" s="547"/>
      <c r="AP345" s="536"/>
      <c r="AQ345" s="538"/>
      <c r="AR345" s="530"/>
    </row>
    <row r="346" spans="1:44" ht="56.25">
      <c r="A346" s="536">
        <v>176</v>
      </c>
      <c r="B346" s="536">
        <v>740222</v>
      </c>
      <c r="C346" s="546" t="s">
        <v>301</v>
      </c>
      <c r="D346" s="547">
        <v>1.21</v>
      </c>
      <c r="E346" s="537">
        <v>12484</v>
      </c>
      <c r="F346" s="548">
        <v>1.21</v>
      </c>
      <c r="G346" s="537">
        <v>12484</v>
      </c>
      <c r="H346" s="536"/>
      <c r="I346" s="312"/>
      <c r="J346" s="536"/>
      <c r="K346" s="42"/>
      <c r="L346" s="50"/>
      <c r="M346" s="537"/>
      <c r="N346" s="538"/>
      <c r="O346" s="536"/>
      <c r="P346" s="536"/>
      <c r="Q346" s="547"/>
      <c r="R346" s="536"/>
      <c r="S346" s="725"/>
      <c r="T346" s="12"/>
      <c r="U346" s="536"/>
      <c r="V346" s="536"/>
      <c r="W346" s="547"/>
      <c r="X346" s="536"/>
      <c r="Y346" s="537"/>
      <c r="Z346" s="12"/>
      <c r="AA346" s="536"/>
      <c r="AB346" s="536"/>
      <c r="AC346" s="547"/>
      <c r="AD346" s="536"/>
      <c r="AE346" s="537"/>
      <c r="AF346" s="12"/>
      <c r="AG346" s="536"/>
      <c r="AH346" s="536" t="s">
        <v>93</v>
      </c>
      <c r="AI346" s="547">
        <v>1</v>
      </c>
      <c r="AJ346" s="536" t="s">
        <v>118</v>
      </c>
      <c r="AK346" s="537">
        <v>50</v>
      </c>
      <c r="AL346" s="12"/>
      <c r="AM346" s="536"/>
      <c r="AN346" s="536"/>
      <c r="AO346" s="547"/>
      <c r="AP346" s="536"/>
      <c r="AQ346" s="538"/>
      <c r="AR346" s="530"/>
    </row>
    <row r="347" spans="1:44" ht="56.25">
      <c r="A347" s="1008">
        <v>177</v>
      </c>
      <c r="B347" s="1008">
        <v>745233</v>
      </c>
      <c r="C347" s="1025" t="s">
        <v>302</v>
      </c>
      <c r="D347" s="1024">
        <v>3.653</v>
      </c>
      <c r="E347" s="1017">
        <v>27052</v>
      </c>
      <c r="F347" s="1018">
        <v>3.653</v>
      </c>
      <c r="G347" s="1017">
        <v>27052</v>
      </c>
      <c r="H347" s="539"/>
      <c r="I347" s="312"/>
      <c r="J347" s="536"/>
      <c r="K347" s="42"/>
      <c r="L347" s="50"/>
      <c r="M347" s="537"/>
      <c r="N347" s="538"/>
      <c r="O347" s="536"/>
      <c r="P347" s="536"/>
      <c r="Q347" s="547"/>
      <c r="R347" s="536"/>
      <c r="S347" s="725"/>
      <c r="T347" s="12"/>
      <c r="U347" s="536"/>
      <c r="V347" s="536"/>
      <c r="W347" s="547"/>
      <c r="X347" s="536"/>
      <c r="Y347" s="537"/>
      <c r="Z347" s="12"/>
      <c r="AA347" s="536"/>
      <c r="AB347" s="536"/>
      <c r="AC347" s="547"/>
      <c r="AD347" s="536"/>
      <c r="AE347" s="537"/>
      <c r="AF347" s="1031"/>
      <c r="AG347" s="1031"/>
      <c r="AH347" s="1023"/>
      <c r="AI347" s="547"/>
      <c r="AJ347" s="553"/>
      <c r="AK347" s="1027"/>
      <c r="AL347" s="1031"/>
      <c r="AM347" s="1031"/>
      <c r="AN347" s="536" t="s">
        <v>93</v>
      </c>
      <c r="AO347" s="547">
        <v>1</v>
      </c>
      <c r="AP347" s="536" t="s">
        <v>118</v>
      </c>
      <c r="AQ347" s="537">
        <v>50</v>
      </c>
      <c r="AR347" s="530"/>
    </row>
    <row r="348" spans="1:44" ht="18.75">
      <c r="A348" s="1008"/>
      <c r="B348" s="1008"/>
      <c r="C348" s="1025"/>
      <c r="D348" s="1024"/>
      <c r="E348" s="1017"/>
      <c r="F348" s="1018"/>
      <c r="G348" s="1017"/>
      <c r="H348" s="539"/>
      <c r="I348" s="312"/>
      <c r="J348" s="536"/>
      <c r="K348" s="42"/>
      <c r="L348" s="50"/>
      <c r="M348" s="537"/>
      <c r="N348" s="538"/>
      <c r="O348" s="536"/>
      <c r="P348" s="536"/>
      <c r="Q348" s="547"/>
      <c r="R348" s="536"/>
      <c r="S348" s="725"/>
      <c r="T348" s="12"/>
      <c r="U348" s="536"/>
      <c r="V348" s="536"/>
      <c r="W348" s="547"/>
      <c r="X348" s="536"/>
      <c r="Y348" s="537"/>
      <c r="Z348" s="12"/>
      <c r="AA348" s="536"/>
      <c r="AB348" s="536"/>
      <c r="AC348" s="547"/>
      <c r="AD348" s="536"/>
      <c r="AE348" s="537"/>
      <c r="AF348" s="1031"/>
      <c r="AG348" s="1031"/>
      <c r="AH348" s="1026"/>
      <c r="AI348" s="547"/>
      <c r="AJ348" s="43"/>
      <c r="AK348" s="1027"/>
      <c r="AL348" s="1026"/>
      <c r="AM348" s="1026"/>
      <c r="AN348" s="536"/>
      <c r="AO348" s="547"/>
      <c r="AP348" s="536"/>
      <c r="AQ348" s="537"/>
      <c r="AR348" s="530"/>
    </row>
    <row r="349" spans="1:44" ht="18.75">
      <c r="A349" s="1008">
        <v>178</v>
      </c>
      <c r="B349" s="1008">
        <v>2795070</v>
      </c>
      <c r="C349" s="1025" t="s">
        <v>303</v>
      </c>
      <c r="D349" s="1024">
        <v>1.55</v>
      </c>
      <c r="E349" s="1017">
        <v>11260</v>
      </c>
      <c r="F349" s="1018">
        <v>1.55</v>
      </c>
      <c r="G349" s="1017">
        <v>11260</v>
      </c>
      <c r="H349" s="539"/>
      <c r="I349" s="312"/>
      <c r="J349" s="536"/>
      <c r="K349" s="42"/>
      <c r="L349" s="50"/>
      <c r="M349" s="537"/>
      <c r="N349" s="538"/>
      <c r="O349" s="536"/>
      <c r="P349" s="536"/>
      <c r="Q349" s="547"/>
      <c r="R349" s="536"/>
      <c r="S349" s="725"/>
      <c r="T349" s="12"/>
      <c r="U349" s="536"/>
      <c r="V349" s="536"/>
      <c r="W349" s="547"/>
      <c r="X349" s="536"/>
      <c r="Y349" s="537"/>
      <c r="Z349" s="1031"/>
      <c r="AA349" s="1023"/>
      <c r="AB349" s="1023"/>
      <c r="AC349" s="547"/>
      <c r="AD349" s="553"/>
      <c r="AE349" s="1050"/>
      <c r="AF349" s="12"/>
      <c r="AG349" s="536"/>
      <c r="AH349" s="1020" t="s">
        <v>114</v>
      </c>
      <c r="AI349" s="547">
        <f>IF(E361="","",D361/E361*AI350)</f>
        <v>8.7142032332563513E-2</v>
      </c>
      <c r="AJ349" s="553" t="s">
        <v>17</v>
      </c>
      <c r="AK349" s="1027">
        <v>1000</v>
      </c>
      <c r="AL349" s="12"/>
      <c r="AM349" s="536"/>
      <c r="AN349" s="536"/>
      <c r="AO349" s="547"/>
      <c r="AP349" s="536"/>
      <c r="AQ349" s="538"/>
      <c r="AR349" s="530"/>
    </row>
    <row r="350" spans="1:44" ht="18.75">
      <c r="A350" s="1008"/>
      <c r="B350" s="1008"/>
      <c r="C350" s="1025"/>
      <c r="D350" s="1024"/>
      <c r="E350" s="1017"/>
      <c r="F350" s="1018"/>
      <c r="G350" s="1017"/>
      <c r="H350" s="539"/>
      <c r="I350" s="312"/>
      <c r="J350" s="536"/>
      <c r="K350" s="42"/>
      <c r="L350" s="50"/>
      <c r="M350" s="537"/>
      <c r="N350" s="538"/>
      <c r="O350" s="536"/>
      <c r="P350" s="536"/>
      <c r="Q350" s="547"/>
      <c r="R350" s="536"/>
      <c r="S350" s="725"/>
      <c r="T350" s="12"/>
      <c r="U350" s="536"/>
      <c r="V350" s="536"/>
      <c r="W350" s="547"/>
      <c r="X350" s="536"/>
      <c r="Y350" s="537"/>
      <c r="Z350" s="1026"/>
      <c r="AA350" s="1026"/>
      <c r="AB350" s="1026"/>
      <c r="AC350" s="536"/>
      <c r="AD350" s="43"/>
      <c r="AE350" s="1050"/>
      <c r="AF350" s="12"/>
      <c r="AG350" s="536"/>
      <c r="AH350" s="1020"/>
      <c r="AI350" s="536">
        <v>559</v>
      </c>
      <c r="AJ350" s="43" t="s">
        <v>32</v>
      </c>
      <c r="AK350" s="1027"/>
      <c r="AL350" s="12"/>
      <c r="AM350" s="536"/>
      <c r="AN350" s="536"/>
      <c r="AO350" s="547"/>
      <c r="AP350" s="536"/>
      <c r="AQ350" s="538"/>
      <c r="AR350" s="530"/>
    </row>
    <row r="351" spans="1:44" ht="56.25">
      <c r="A351" s="1008">
        <v>179</v>
      </c>
      <c r="B351" s="1008">
        <v>2795170</v>
      </c>
      <c r="C351" s="1025" t="s">
        <v>304</v>
      </c>
      <c r="D351" s="1024">
        <v>1.8</v>
      </c>
      <c r="E351" s="1017">
        <v>11285</v>
      </c>
      <c r="F351" s="1018">
        <v>1.8</v>
      </c>
      <c r="G351" s="1017">
        <v>11285</v>
      </c>
      <c r="H351" s="539"/>
      <c r="I351" s="312"/>
      <c r="J351" s="536"/>
      <c r="K351" s="42"/>
      <c r="L351" s="50"/>
      <c r="M351" s="537"/>
      <c r="N351" s="538"/>
      <c r="O351" s="536"/>
      <c r="P351" s="536"/>
      <c r="Q351" s="547"/>
      <c r="R351" s="536"/>
      <c r="S351" s="725"/>
      <c r="T351" s="12"/>
      <c r="U351" s="536"/>
      <c r="V351" s="536"/>
      <c r="W351" s="547"/>
      <c r="X351" s="536"/>
      <c r="Y351" s="537"/>
      <c r="Z351" s="1031"/>
      <c r="AA351" s="1023"/>
      <c r="AB351" s="1023"/>
      <c r="AC351" s="547"/>
      <c r="AD351" s="553"/>
      <c r="AE351" s="1050"/>
      <c r="AF351" s="12"/>
      <c r="AG351" s="536"/>
      <c r="AH351" s="536" t="s">
        <v>93</v>
      </c>
      <c r="AI351" s="547">
        <v>1</v>
      </c>
      <c r="AJ351" s="536" t="s">
        <v>118</v>
      </c>
      <c r="AK351" s="537">
        <v>50</v>
      </c>
      <c r="AL351" s="12"/>
      <c r="AM351" s="536"/>
      <c r="AN351" s="536"/>
      <c r="AO351" s="547"/>
      <c r="AP351" s="536"/>
      <c r="AQ351" s="538"/>
      <c r="AR351" s="530"/>
    </row>
    <row r="352" spans="1:44" ht="18.75">
      <c r="A352" s="1008"/>
      <c r="B352" s="1008"/>
      <c r="C352" s="1025"/>
      <c r="D352" s="1024"/>
      <c r="E352" s="1017"/>
      <c r="F352" s="1018"/>
      <c r="G352" s="1017"/>
      <c r="H352" s="539"/>
      <c r="I352" s="312"/>
      <c r="J352" s="536"/>
      <c r="K352" s="42"/>
      <c r="L352" s="50"/>
      <c r="M352" s="537"/>
      <c r="N352" s="538"/>
      <c r="O352" s="536"/>
      <c r="P352" s="536"/>
      <c r="Q352" s="547"/>
      <c r="R352" s="536"/>
      <c r="S352" s="725"/>
      <c r="T352" s="12"/>
      <c r="U352" s="536"/>
      <c r="V352" s="536"/>
      <c r="W352" s="547"/>
      <c r="X352" s="536"/>
      <c r="Y352" s="537"/>
      <c r="Z352" s="1026"/>
      <c r="AA352" s="1026"/>
      <c r="AB352" s="1026"/>
      <c r="AC352" s="536"/>
      <c r="AD352" s="43"/>
      <c r="AE352" s="1050"/>
      <c r="AF352" s="12"/>
      <c r="AG352" s="536"/>
      <c r="AH352" s="536"/>
      <c r="AI352" s="547"/>
      <c r="AJ352" s="536"/>
      <c r="AK352" s="538"/>
      <c r="AL352" s="12"/>
      <c r="AM352" s="536"/>
      <c r="AN352" s="536"/>
      <c r="AO352" s="547"/>
      <c r="AP352" s="536"/>
      <c r="AQ352" s="538"/>
      <c r="AR352" s="530"/>
    </row>
    <row r="353" spans="1:44" ht="18.75">
      <c r="A353" s="1008">
        <v>180</v>
      </c>
      <c r="B353" s="1008">
        <v>2795177</v>
      </c>
      <c r="C353" s="1025" t="s">
        <v>305</v>
      </c>
      <c r="D353" s="1024">
        <v>0.24</v>
      </c>
      <c r="E353" s="1017">
        <v>1274</v>
      </c>
      <c r="F353" s="1018">
        <v>0.24</v>
      </c>
      <c r="G353" s="1017">
        <v>1274</v>
      </c>
      <c r="H353" s="539"/>
      <c r="I353" s="312"/>
      <c r="J353" s="536"/>
      <c r="K353" s="42"/>
      <c r="L353" s="50"/>
      <c r="M353" s="537"/>
      <c r="N353" s="538"/>
      <c r="O353" s="536"/>
      <c r="P353" s="536"/>
      <c r="Q353" s="547"/>
      <c r="R353" s="536"/>
      <c r="S353" s="725"/>
      <c r="T353" s="12"/>
      <c r="U353" s="536"/>
      <c r="V353" s="536"/>
      <c r="W353" s="547"/>
      <c r="X353" s="536"/>
      <c r="Y353" s="537"/>
      <c r="Z353" s="12"/>
      <c r="AA353" s="536"/>
      <c r="AB353" s="536"/>
      <c r="AC353" s="547"/>
      <c r="AD353" s="536"/>
      <c r="AE353" s="537"/>
      <c r="AF353" s="1031"/>
      <c r="AG353" s="1023"/>
      <c r="AH353" s="1020" t="s">
        <v>114</v>
      </c>
      <c r="AI353" s="547">
        <f>IF(E353="","",D353/E353*AI354)</f>
        <v>0.24</v>
      </c>
      <c r="AJ353" s="553" t="s">
        <v>17</v>
      </c>
      <c r="AK353" s="1027">
        <f>2000+0.05</f>
        <v>2000.05</v>
      </c>
      <c r="AL353" s="12"/>
      <c r="AM353" s="536"/>
      <c r="AN353" s="536"/>
      <c r="AO353" s="547"/>
      <c r="AP353" s="536"/>
      <c r="AQ353" s="538"/>
      <c r="AR353" s="530"/>
    </row>
    <row r="354" spans="1:44" ht="18.75">
      <c r="A354" s="1008"/>
      <c r="B354" s="1008"/>
      <c r="C354" s="1025"/>
      <c r="D354" s="1024"/>
      <c r="E354" s="1017"/>
      <c r="F354" s="1018"/>
      <c r="G354" s="1017"/>
      <c r="H354" s="539"/>
      <c r="I354" s="312"/>
      <c r="J354" s="536"/>
      <c r="K354" s="42"/>
      <c r="L354" s="50"/>
      <c r="M354" s="537"/>
      <c r="N354" s="538"/>
      <c r="O354" s="536"/>
      <c r="P354" s="536"/>
      <c r="Q354" s="547"/>
      <c r="R354" s="536"/>
      <c r="S354" s="725"/>
      <c r="T354" s="12"/>
      <c r="U354" s="536"/>
      <c r="V354" s="536"/>
      <c r="W354" s="547"/>
      <c r="X354" s="536"/>
      <c r="Y354" s="537"/>
      <c r="Z354" s="12"/>
      <c r="AA354" s="536"/>
      <c r="AB354" s="536"/>
      <c r="AC354" s="547"/>
      <c r="AD354" s="536"/>
      <c r="AE354" s="537"/>
      <c r="AF354" s="1026"/>
      <c r="AG354" s="1026"/>
      <c r="AH354" s="1020"/>
      <c r="AI354" s="536">
        <v>1274</v>
      </c>
      <c r="AJ354" s="43" t="s">
        <v>32</v>
      </c>
      <c r="AK354" s="1027"/>
      <c r="AL354" s="12"/>
      <c r="AM354" s="536"/>
      <c r="AN354" s="536"/>
      <c r="AO354" s="547"/>
      <c r="AP354" s="536"/>
      <c r="AQ354" s="538"/>
      <c r="AR354" s="530"/>
    </row>
    <row r="355" spans="1:44" ht="32.25" customHeight="1">
      <c r="A355" s="1008">
        <v>181</v>
      </c>
      <c r="B355" s="1008">
        <v>740255</v>
      </c>
      <c r="C355" s="1025" t="s">
        <v>306</v>
      </c>
      <c r="D355" s="1024">
        <v>2.6379999999999999</v>
      </c>
      <c r="E355" s="1017">
        <v>16620</v>
      </c>
      <c r="F355" s="1018">
        <v>2.6379999999999999</v>
      </c>
      <c r="G355" s="1017">
        <v>16620</v>
      </c>
      <c r="H355" s="1019" t="s">
        <v>2744</v>
      </c>
      <c r="I355" s="1019" t="s">
        <v>2745</v>
      </c>
      <c r="J355" s="1020" t="s">
        <v>114</v>
      </c>
      <c r="K355" s="558">
        <v>0.75</v>
      </c>
      <c r="L355" s="553" t="s">
        <v>17</v>
      </c>
      <c r="M355" s="1017">
        <v>5988.95892</v>
      </c>
      <c r="N355" s="538"/>
      <c r="O355" s="536"/>
      <c r="P355" s="536"/>
      <c r="Q355" s="547"/>
      <c r="R355" s="536"/>
      <c r="S355" s="725"/>
      <c r="T355" s="12"/>
      <c r="U355" s="536"/>
      <c r="V355" s="536"/>
      <c r="W355" s="547"/>
      <c r="X355" s="536"/>
      <c r="Y355" s="537"/>
      <c r="Z355" s="12"/>
      <c r="AA355" s="536"/>
      <c r="AB355" s="536"/>
      <c r="AC355" s="547"/>
      <c r="AD355" s="536"/>
      <c r="AE355" s="537"/>
      <c r="AF355" s="12"/>
      <c r="AG355" s="536"/>
      <c r="AH355" s="536"/>
      <c r="AI355" s="547"/>
      <c r="AJ355" s="536"/>
      <c r="AK355" s="538"/>
      <c r="AL355" s="12"/>
      <c r="AM355" s="536"/>
      <c r="AN355" s="536"/>
      <c r="AO355" s="547"/>
      <c r="AP355" s="536"/>
      <c r="AQ355" s="538"/>
      <c r="AR355" s="530"/>
    </row>
    <row r="356" spans="1:44" ht="47.25" customHeight="1">
      <c r="A356" s="1008"/>
      <c r="B356" s="1008"/>
      <c r="C356" s="1025"/>
      <c r="D356" s="1024"/>
      <c r="E356" s="1017"/>
      <c r="F356" s="1018"/>
      <c r="G356" s="1017"/>
      <c r="H356" s="1019"/>
      <c r="I356" s="1019"/>
      <c r="J356" s="1020"/>
      <c r="K356" s="51">
        <v>4740</v>
      </c>
      <c r="L356" s="43" t="s">
        <v>32</v>
      </c>
      <c r="M356" s="1017"/>
      <c r="N356" s="538"/>
      <c r="O356" s="536"/>
      <c r="P356" s="536"/>
      <c r="Q356" s="547"/>
      <c r="R356" s="536"/>
      <c r="S356" s="725"/>
      <c r="T356" s="12"/>
      <c r="U356" s="536"/>
      <c r="V356" s="536"/>
      <c r="W356" s="547"/>
      <c r="X356" s="536"/>
      <c r="Y356" s="537"/>
      <c r="Z356" s="12"/>
      <c r="AA356" s="536"/>
      <c r="AB356" s="536"/>
      <c r="AC356" s="547"/>
      <c r="AD356" s="536"/>
      <c r="AE356" s="537"/>
      <c r="AF356" s="12"/>
      <c r="AG356" s="536"/>
      <c r="AH356" s="536"/>
      <c r="AI356" s="547"/>
      <c r="AJ356" s="536"/>
      <c r="AK356" s="538"/>
      <c r="AL356" s="12"/>
      <c r="AM356" s="536"/>
      <c r="AN356" s="536"/>
      <c r="AO356" s="547"/>
      <c r="AP356" s="536"/>
      <c r="AQ356" s="538"/>
      <c r="AR356" s="530"/>
    </row>
    <row r="357" spans="1:44" ht="18.75">
      <c r="A357" s="1008">
        <v>182</v>
      </c>
      <c r="B357" s="1008">
        <v>736211</v>
      </c>
      <c r="C357" s="1025" t="s">
        <v>307</v>
      </c>
      <c r="D357" s="1024">
        <v>2.15</v>
      </c>
      <c r="E357" s="1017">
        <v>15050</v>
      </c>
      <c r="F357" s="1018">
        <v>2.15</v>
      </c>
      <c r="G357" s="1017">
        <v>15050</v>
      </c>
      <c r="H357" s="1019" t="s">
        <v>60</v>
      </c>
      <c r="I357" s="971" t="s">
        <v>2746</v>
      </c>
      <c r="J357" s="1020" t="s">
        <v>114</v>
      </c>
      <c r="K357" s="558">
        <v>2.15</v>
      </c>
      <c r="L357" s="553" t="s">
        <v>17</v>
      </c>
      <c r="M357" s="1017">
        <v>18285.162799999998</v>
      </c>
      <c r="N357" s="538"/>
      <c r="O357" s="536"/>
      <c r="P357" s="536"/>
      <c r="Q357" s="547"/>
      <c r="R357" s="536"/>
      <c r="S357" s="725"/>
      <c r="T357" s="12"/>
      <c r="U357" s="536"/>
      <c r="V357" s="536"/>
      <c r="W357" s="547"/>
      <c r="X357" s="536"/>
      <c r="Y357" s="537"/>
      <c r="Z357" s="12"/>
      <c r="AA357" s="536"/>
      <c r="AB357" s="536"/>
      <c r="AC357" s="547"/>
      <c r="AD357" s="536"/>
      <c r="AE357" s="537"/>
      <c r="AF357" s="12"/>
      <c r="AG357" s="536"/>
      <c r="AH357" s="536"/>
      <c r="AI357" s="547"/>
      <c r="AJ357" s="536"/>
      <c r="AK357" s="538"/>
      <c r="AL357" s="12"/>
      <c r="AM357" s="536"/>
      <c r="AN357" s="536"/>
      <c r="AO357" s="547"/>
      <c r="AP357" s="536"/>
      <c r="AQ357" s="538"/>
      <c r="AR357" s="530"/>
    </row>
    <row r="358" spans="1:44" ht="18.75">
      <c r="A358" s="1008"/>
      <c r="B358" s="1008"/>
      <c r="C358" s="1025"/>
      <c r="D358" s="1024"/>
      <c r="E358" s="1017"/>
      <c r="F358" s="1018"/>
      <c r="G358" s="1017"/>
      <c r="H358" s="1019"/>
      <c r="I358" s="971"/>
      <c r="J358" s="1020"/>
      <c r="K358" s="51">
        <v>15050</v>
      </c>
      <c r="L358" s="43" t="s">
        <v>32</v>
      </c>
      <c r="M358" s="1017"/>
      <c r="N358" s="538"/>
      <c r="O358" s="536"/>
      <c r="P358" s="536"/>
      <c r="Q358" s="547"/>
      <c r="R358" s="536"/>
      <c r="S358" s="725"/>
      <c r="T358" s="12"/>
      <c r="U358" s="536"/>
      <c r="V358" s="536"/>
      <c r="W358" s="547"/>
      <c r="X358" s="536"/>
      <c r="Y358" s="537"/>
      <c r="Z358" s="12"/>
      <c r="AA358" s="536"/>
      <c r="AB358" s="536"/>
      <c r="AC358" s="547"/>
      <c r="AD358" s="536"/>
      <c r="AE358" s="537"/>
      <c r="AF358" s="12"/>
      <c r="AG358" s="536"/>
      <c r="AH358" s="536"/>
      <c r="AI358" s="547"/>
      <c r="AJ358" s="536"/>
      <c r="AK358" s="538"/>
      <c r="AL358" s="12"/>
      <c r="AM358" s="536"/>
      <c r="AN358" s="536"/>
      <c r="AO358" s="547"/>
      <c r="AP358" s="536"/>
      <c r="AQ358" s="538"/>
      <c r="AR358" s="530"/>
    </row>
    <row r="359" spans="1:44" ht="56.25">
      <c r="A359" s="1008"/>
      <c r="B359" s="1008"/>
      <c r="C359" s="1025"/>
      <c r="D359" s="1024"/>
      <c r="E359" s="1017"/>
      <c r="F359" s="1018"/>
      <c r="G359" s="1017"/>
      <c r="H359" s="539"/>
      <c r="I359" s="539"/>
      <c r="J359" s="536" t="s">
        <v>49</v>
      </c>
      <c r="K359" s="51">
        <v>50</v>
      </c>
      <c r="L359" s="43" t="s">
        <v>186</v>
      </c>
      <c r="M359" s="537">
        <v>88.488849999999999</v>
      </c>
      <c r="N359" s="538"/>
      <c r="O359" s="536"/>
      <c r="P359" s="536"/>
      <c r="Q359" s="547"/>
      <c r="R359" s="536"/>
      <c r="S359" s="725"/>
      <c r="T359" s="12"/>
      <c r="U359" s="536"/>
      <c r="V359" s="536"/>
      <c r="W359" s="547"/>
      <c r="X359" s="536"/>
      <c r="Y359" s="537"/>
      <c r="Z359" s="12"/>
      <c r="AA359" s="536"/>
      <c r="AB359" s="536"/>
      <c r="AC359" s="547"/>
      <c r="AD359" s="536"/>
      <c r="AE359" s="537"/>
      <c r="AF359" s="12"/>
      <c r="AG359" s="536"/>
      <c r="AH359" s="536"/>
      <c r="AI359" s="547"/>
      <c r="AJ359" s="536"/>
      <c r="AK359" s="538"/>
      <c r="AL359" s="12"/>
      <c r="AM359" s="536"/>
      <c r="AN359" s="536"/>
      <c r="AO359" s="547"/>
      <c r="AP359" s="536"/>
      <c r="AQ359" s="538"/>
      <c r="AR359" s="530"/>
    </row>
    <row r="360" spans="1:44" ht="75">
      <c r="A360" s="536">
        <v>183</v>
      </c>
      <c r="B360" s="536">
        <v>2795026</v>
      </c>
      <c r="C360" s="546" t="s">
        <v>308</v>
      </c>
      <c r="D360" s="547">
        <v>0.42</v>
      </c>
      <c r="E360" s="537">
        <v>2490</v>
      </c>
      <c r="F360" s="548">
        <v>0.42</v>
      </c>
      <c r="G360" s="537">
        <v>2490</v>
      </c>
      <c r="H360" s="536"/>
      <c r="I360" s="312"/>
      <c r="J360" s="536"/>
      <c r="K360" s="42"/>
      <c r="L360" s="50"/>
      <c r="M360" s="537"/>
      <c r="N360" s="538"/>
      <c r="O360" s="536"/>
      <c r="P360" s="536"/>
      <c r="Q360" s="547"/>
      <c r="R360" s="536"/>
      <c r="S360" s="725"/>
      <c r="T360" s="12"/>
      <c r="U360" s="536"/>
      <c r="V360" s="536"/>
      <c r="W360" s="547"/>
      <c r="X360" s="536"/>
      <c r="Y360" s="537"/>
      <c r="Z360" s="12"/>
      <c r="AA360" s="536"/>
      <c r="AB360" s="536" t="s">
        <v>93</v>
      </c>
      <c r="AC360" s="547">
        <v>1</v>
      </c>
      <c r="AD360" s="536" t="s">
        <v>118</v>
      </c>
      <c r="AE360" s="537">
        <v>50</v>
      </c>
      <c r="AF360" s="12"/>
      <c r="AG360" s="536"/>
      <c r="AH360" s="536"/>
      <c r="AI360" s="547"/>
      <c r="AJ360" s="536"/>
      <c r="AK360" s="538"/>
      <c r="AL360" s="12"/>
      <c r="AM360" s="536"/>
      <c r="AN360" s="536"/>
      <c r="AO360" s="547"/>
      <c r="AP360" s="536"/>
      <c r="AQ360" s="538"/>
      <c r="AR360" s="530"/>
    </row>
    <row r="361" spans="1:44" ht="18.75">
      <c r="A361" s="1008">
        <v>184</v>
      </c>
      <c r="B361" s="1008">
        <v>739542</v>
      </c>
      <c r="C361" s="1025" t="s">
        <v>309</v>
      </c>
      <c r="D361" s="1024">
        <v>0.54</v>
      </c>
      <c r="E361" s="1017">
        <v>3464</v>
      </c>
      <c r="F361" s="1018">
        <v>0.54</v>
      </c>
      <c r="G361" s="1017">
        <v>3464</v>
      </c>
      <c r="H361" s="1019" t="s">
        <v>60</v>
      </c>
      <c r="I361" s="971" t="s">
        <v>2747</v>
      </c>
      <c r="J361" s="1020" t="s">
        <v>114</v>
      </c>
      <c r="K361" s="558">
        <v>0.54</v>
      </c>
      <c r="L361" s="553" t="s">
        <v>17</v>
      </c>
      <c r="M361" s="1017">
        <v>4058.5464700000002</v>
      </c>
      <c r="N361" s="538"/>
      <c r="O361" s="536"/>
      <c r="P361" s="536"/>
      <c r="Q361" s="547"/>
      <c r="R361" s="536"/>
      <c r="S361" s="725"/>
      <c r="T361" s="12"/>
      <c r="U361" s="536"/>
      <c r="V361" s="536"/>
      <c r="W361" s="547"/>
      <c r="X361" s="536"/>
      <c r="Y361" s="537"/>
      <c r="Z361" s="12"/>
      <c r="AA361" s="536"/>
      <c r="AB361" s="536"/>
      <c r="AC361" s="547"/>
      <c r="AD361" s="536"/>
      <c r="AE361" s="537"/>
      <c r="AF361" s="12"/>
      <c r="AG361" s="536"/>
      <c r="AH361" s="407"/>
      <c r="AI361" s="652"/>
      <c r="AJ361" s="407"/>
      <c r="AK361" s="588"/>
      <c r="AL361" s="12"/>
      <c r="AM361" s="536"/>
      <c r="AN361" s="536"/>
      <c r="AO361" s="547"/>
      <c r="AP361" s="536"/>
      <c r="AQ361" s="538"/>
      <c r="AR361" s="530"/>
    </row>
    <row r="362" spans="1:44" ht="18.75">
      <c r="A362" s="1008"/>
      <c r="B362" s="1008"/>
      <c r="C362" s="1025"/>
      <c r="D362" s="1024"/>
      <c r="E362" s="1017"/>
      <c r="F362" s="1018"/>
      <c r="G362" s="1017"/>
      <c r="H362" s="1019"/>
      <c r="I362" s="971"/>
      <c r="J362" s="1020"/>
      <c r="K362" s="51">
        <v>3464</v>
      </c>
      <c r="L362" s="43" t="s">
        <v>32</v>
      </c>
      <c r="M362" s="1017"/>
      <c r="N362" s="538"/>
      <c r="O362" s="536"/>
      <c r="P362" s="536"/>
      <c r="Q362" s="547"/>
      <c r="R362" s="536"/>
      <c r="S362" s="725"/>
      <c r="T362" s="12"/>
      <c r="U362" s="536"/>
      <c r="V362" s="536"/>
      <c r="W362" s="547"/>
      <c r="X362" s="536"/>
      <c r="Y362" s="537"/>
      <c r="Z362" s="12"/>
      <c r="AA362" s="536"/>
      <c r="AB362" s="536"/>
      <c r="AC362" s="547"/>
      <c r="AD362" s="536"/>
      <c r="AE362" s="537"/>
      <c r="AF362" s="12"/>
      <c r="AG362" s="536"/>
      <c r="AH362" s="407"/>
      <c r="AI362" s="652"/>
      <c r="AJ362" s="407"/>
      <c r="AK362" s="588"/>
      <c r="AL362" s="12"/>
      <c r="AM362" s="536"/>
      <c r="AN362" s="536"/>
      <c r="AO362" s="547"/>
      <c r="AP362" s="536"/>
      <c r="AQ362" s="538"/>
      <c r="AR362" s="530"/>
    </row>
    <row r="363" spans="1:44" ht="18.75">
      <c r="A363" s="1008">
        <v>185</v>
      </c>
      <c r="B363" s="1008">
        <v>2795020</v>
      </c>
      <c r="C363" s="1025" t="s">
        <v>310</v>
      </c>
      <c r="D363" s="1024">
        <v>0.12</v>
      </c>
      <c r="E363" s="1017">
        <v>1111</v>
      </c>
      <c r="F363" s="1018">
        <v>0.12</v>
      </c>
      <c r="G363" s="1017">
        <v>1111</v>
      </c>
      <c r="H363" s="1019" t="s">
        <v>60</v>
      </c>
      <c r="I363" s="971" t="s">
        <v>2748</v>
      </c>
      <c r="J363" s="1020" t="s">
        <v>114</v>
      </c>
      <c r="K363" s="558">
        <v>0.12</v>
      </c>
      <c r="L363" s="553" t="s">
        <v>17</v>
      </c>
      <c r="M363" s="1017">
        <v>1374.37986</v>
      </c>
      <c r="N363" s="538"/>
      <c r="O363" s="536"/>
      <c r="P363" s="536"/>
      <c r="Q363" s="547"/>
      <c r="R363" s="536"/>
      <c r="S363" s="725"/>
      <c r="T363" s="12"/>
      <c r="U363" s="536"/>
      <c r="V363" s="536"/>
      <c r="W363" s="547"/>
      <c r="X363" s="536"/>
      <c r="Y363" s="537"/>
      <c r="Z363" s="12"/>
      <c r="AA363" s="536"/>
      <c r="AB363" s="536"/>
      <c r="AC363" s="547"/>
      <c r="AD363" s="536"/>
      <c r="AE363" s="537"/>
      <c r="AF363" s="12"/>
      <c r="AG363" s="536"/>
      <c r="AH363" s="536"/>
      <c r="AI363" s="547"/>
      <c r="AJ363" s="536"/>
      <c r="AK363" s="538"/>
      <c r="AL363" s="12"/>
      <c r="AM363" s="536"/>
      <c r="AN363" s="536"/>
      <c r="AO363" s="547"/>
      <c r="AP363" s="536"/>
      <c r="AQ363" s="538"/>
      <c r="AR363" s="530"/>
    </row>
    <row r="364" spans="1:44" ht="18.75">
      <c r="A364" s="1008"/>
      <c r="B364" s="1008"/>
      <c r="C364" s="1025"/>
      <c r="D364" s="1024"/>
      <c r="E364" s="1017"/>
      <c r="F364" s="1018"/>
      <c r="G364" s="1017"/>
      <c r="H364" s="1019"/>
      <c r="I364" s="971"/>
      <c r="J364" s="1020"/>
      <c r="K364" s="51">
        <v>1111</v>
      </c>
      <c r="L364" s="43" t="s">
        <v>32</v>
      </c>
      <c r="M364" s="1017"/>
      <c r="N364" s="538"/>
      <c r="O364" s="536"/>
      <c r="P364" s="536"/>
      <c r="Q364" s="547"/>
      <c r="R364" s="536"/>
      <c r="S364" s="725"/>
      <c r="T364" s="12"/>
      <c r="U364" s="536"/>
      <c r="V364" s="536"/>
      <c r="W364" s="547"/>
      <c r="X364" s="536"/>
      <c r="Y364" s="537"/>
      <c r="Z364" s="12"/>
      <c r="AA364" s="536"/>
      <c r="AB364" s="536"/>
      <c r="AC364" s="547"/>
      <c r="AD364" s="536"/>
      <c r="AE364" s="537"/>
      <c r="AF364" s="12"/>
      <c r="AG364" s="536"/>
      <c r="AH364" s="536"/>
      <c r="AI364" s="547"/>
      <c r="AJ364" s="536"/>
      <c r="AK364" s="538"/>
      <c r="AL364" s="12"/>
      <c r="AM364" s="536"/>
      <c r="AN364" s="536"/>
      <c r="AO364" s="547"/>
      <c r="AP364" s="536"/>
      <c r="AQ364" s="538"/>
      <c r="AR364" s="530"/>
    </row>
    <row r="365" spans="1:44" ht="56.25">
      <c r="A365" s="1008">
        <v>186</v>
      </c>
      <c r="B365" s="1008">
        <v>742219</v>
      </c>
      <c r="C365" s="1025" t="s">
        <v>311</v>
      </c>
      <c r="D365" s="1024">
        <v>0.38</v>
      </c>
      <c r="E365" s="1017">
        <v>2765</v>
      </c>
      <c r="F365" s="1018">
        <v>0.38</v>
      </c>
      <c r="G365" s="1017">
        <v>2765</v>
      </c>
      <c r="H365" s="539"/>
      <c r="I365" s="312"/>
      <c r="J365" s="1008"/>
      <c r="K365" s="42"/>
      <c r="L365" s="553"/>
      <c r="M365" s="1017"/>
      <c r="N365" s="538"/>
      <c r="O365" s="536"/>
      <c r="P365" s="1008"/>
      <c r="Q365" s="558"/>
      <c r="R365" s="553"/>
      <c r="S365" s="1051"/>
      <c r="T365" s="12"/>
      <c r="U365" s="536"/>
      <c r="V365" s="536"/>
      <c r="W365" s="547"/>
      <c r="X365" s="536"/>
      <c r="Y365" s="537"/>
      <c r="Z365" s="12"/>
      <c r="AA365" s="536"/>
      <c r="AB365" s="536" t="s">
        <v>93</v>
      </c>
      <c r="AC365" s="547">
        <v>1</v>
      </c>
      <c r="AD365" s="536" t="s">
        <v>118</v>
      </c>
      <c r="AE365" s="537">
        <v>50</v>
      </c>
      <c r="AF365" s="12"/>
      <c r="AG365" s="536"/>
      <c r="AH365" s="536"/>
      <c r="AI365" s="547"/>
      <c r="AJ365" s="536"/>
      <c r="AK365" s="538"/>
      <c r="AL365" s="12"/>
      <c r="AM365" s="536"/>
      <c r="AN365" s="536"/>
      <c r="AO365" s="547"/>
      <c r="AP365" s="536"/>
      <c r="AQ365" s="538"/>
      <c r="AR365" s="530"/>
    </row>
    <row r="366" spans="1:44" ht="18.75">
      <c r="A366" s="1008"/>
      <c r="B366" s="1008"/>
      <c r="C366" s="1025"/>
      <c r="D366" s="1024"/>
      <c r="E366" s="1017"/>
      <c r="F366" s="1018"/>
      <c r="G366" s="1017"/>
      <c r="H366" s="539"/>
      <c r="I366" s="312"/>
      <c r="J366" s="1008"/>
      <c r="K366" s="51"/>
      <c r="L366" s="43"/>
      <c r="M366" s="1017"/>
      <c r="N366" s="538"/>
      <c r="O366" s="536"/>
      <c r="P366" s="1008"/>
      <c r="Q366" s="51"/>
      <c r="R366" s="43"/>
      <c r="S366" s="1052"/>
      <c r="T366" s="12"/>
      <c r="U366" s="536"/>
      <c r="V366" s="536"/>
      <c r="W366" s="547"/>
      <c r="X366" s="536"/>
      <c r="Y366" s="537"/>
      <c r="Z366" s="12"/>
      <c r="AA366" s="536"/>
      <c r="AB366" s="536"/>
      <c r="AC366" s="547"/>
      <c r="AD366" s="536"/>
      <c r="AE366" s="537"/>
      <c r="AF366" s="12"/>
      <c r="AG366" s="536"/>
      <c r="AH366" s="536"/>
      <c r="AI366" s="547"/>
      <c r="AJ366" s="536"/>
      <c r="AK366" s="538"/>
      <c r="AL366" s="12"/>
      <c r="AM366" s="536"/>
      <c r="AN366" s="536"/>
      <c r="AO366" s="547"/>
      <c r="AP366" s="536"/>
      <c r="AQ366" s="538"/>
      <c r="AR366" s="530"/>
    </row>
    <row r="367" spans="1:44" ht="18.75">
      <c r="A367" s="1008">
        <v>187</v>
      </c>
      <c r="B367" s="1008">
        <v>742224</v>
      </c>
      <c r="C367" s="1025" t="s">
        <v>312</v>
      </c>
      <c r="D367" s="1024">
        <v>0.37</v>
      </c>
      <c r="E367" s="1017">
        <v>2263</v>
      </c>
      <c r="F367" s="1018">
        <v>0.37</v>
      </c>
      <c r="G367" s="1017">
        <v>2263</v>
      </c>
      <c r="H367" s="1019" t="s">
        <v>60</v>
      </c>
      <c r="I367" s="971" t="s">
        <v>2713</v>
      </c>
      <c r="J367" s="1020" t="s">
        <v>114</v>
      </c>
      <c r="K367" s="558">
        <v>0.37</v>
      </c>
      <c r="L367" s="553" t="s">
        <v>17</v>
      </c>
      <c r="M367" s="1017">
        <v>2679.1818699999999</v>
      </c>
      <c r="N367" s="538"/>
      <c r="O367" s="536"/>
      <c r="P367" s="536"/>
      <c r="Q367" s="547"/>
      <c r="R367" s="536"/>
      <c r="S367" s="725"/>
      <c r="T367" s="12"/>
      <c r="U367" s="536"/>
      <c r="V367" s="536"/>
      <c r="W367" s="547"/>
      <c r="X367" s="536"/>
      <c r="Y367" s="537"/>
      <c r="Z367" s="12"/>
      <c r="AA367" s="536"/>
      <c r="AB367" s="536"/>
      <c r="AC367" s="547"/>
      <c r="AD367" s="536"/>
      <c r="AE367" s="537"/>
      <c r="AF367" s="12"/>
      <c r="AG367" s="536"/>
      <c r="AH367" s="536"/>
      <c r="AI367" s="547"/>
      <c r="AJ367" s="536"/>
      <c r="AK367" s="538"/>
      <c r="AL367" s="12"/>
      <c r="AM367" s="536"/>
      <c r="AN367" s="536"/>
      <c r="AO367" s="547"/>
      <c r="AP367" s="536"/>
      <c r="AQ367" s="538"/>
      <c r="AR367" s="530"/>
    </row>
    <row r="368" spans="1:44" ht="18.75">
      <c r="A368" s="1008"/>
      <c r="B368" s="1008"/>
      <c r="C368" s="1025"/>
      <c r="D368" s="1024"/>
      <c r="E368" s="1017"/>
      <c r="F368" s="1018"/>
      <c r="G368" s="1017"/>
      <c r="H368" s="1019"/>
      <c r="I368" s="971"/>
      <c r="J368" s="1020"/>
      <c r="K368" s="51">
        <v>2263</v>
      </c>
      <c r="L368" s="43" t="s">
        <v>32</v>
      </c>
      <c r="M368" s="1017"/>
      <c r="N368" s="538"/>
      <c r="O368" s="536"/>
      <c r="P368" s="536"/>
      <c r="Q368" s="547"/>
      <c r="R368" s="536"/>
      <c r="S368" s="725"/>
      <c r="T368" s="12"/>
      <c r="U368" s="536"/>
      <c r="V368" s="536"/>
      <c r="W368" s="547"/>
      <c r="X368" s="536"/>
      <c r="Y368" s="537"/>
      <c r="Z368" s="12"/>
      <c r="AA368" s="536"/>
      <c r="AB368" s="536"/>
      <c r="AC368" s="547"/>
      <c r="AD368" s="536"/>
      <c r="AE368" s="537"/>
      <c r="AF368" s="12"/>
      <c r="AG368" s="536"/>
      <c r="AH368" s="536"/>
      <c r="AI368" s="547"/>
      <c r="AJ368" s="536"/>
      <c r="AK368" s="538"/>
      <c r="AL368" s="12"/>
      <c r="AM368" s="536"/>
      <c r="AN368" s="536"/>
      <c r="AO368" s="547"/>
      <c r="AP368" s="536"/>
      <c r="AQ368" s="538"/>
      <c r="AR368" s="530"/>
    </row>
    <row r="369" spans="1:44" ht="56.25">
      <c r="A369" s="1008">
        <v>188</v>
      </c>
      <c r="B369" s="1008">
        <v>739426</v>
      </c>
      <c r="C369" s="1025" t="s">
        <v>314</v>
      </c>
      <c r="D369" s="1024">
        <v>0.42</v>
      </c>
      <c r="E369" s="1017">
        <v>2827</v>
      </c>
      <c r="F369" s="1018">
        <v>0.42</v>
      </c>
      <c r="G369" s="1017">
        <v>2827</v>
      </c>
      <c r="H369" s="539"/>
      <c r="I369" s="312"/>
      <c r="J369" s="1008"/>
      <c r="K369" s="42"/>
      <c r="L369" s="553"/>
      <c r="M369" s="1017"/>
      <c r="N369" s="538"/>
      <c r="O369" s="536"/>
      <c r="P369" s="1008"/>
      <c r="Q369" s="558"/>
      <c r="R369" s="553"/>
      <c r="S369" s="1051"/>
      <c r="T369" s="12"/>
      <c r="U369" s="536"/>
      <c r="V369" s="536"/>
      <c r="W369" s="547"/>
      <c r="X369" s="536"/>
      <c r="Y369" s="537"/>
      <c r="Z369" s="12"/>
      <c r="AA369" s="536"/>
      <c r="AB369" s="536"/>
      <c r="AC369" s="547"/>
      <c r="AD369" s="536"/>
      <c r="AE369" s="537"/>
      <c r="AF369" s="12"/>
      <c r="AG369" s="536"/>
      <c r="AH369" s="536" t="s">
        <v>93</v>
      </c>
      <c r="AI369" s="547">
        <v>1</v>
      </c>
      <c r="AJ369" s="536" t="s">
        <v>118</v>
      </c>
      <c r="AK369" s="537">
        <v>50</v>
      </c>
      <c r="AL369" s="12"/>
      <c r="AM369" s="536"/>
      <c r="AN369" s="536"/>
      <c r="AO369" s="547"/>
      <c r="AP369" s="536"/>
      <c r="AQ369" s="538"/>
      <c r="AR369" s="530"/>
    </row>
    <row r="370" spans="1:44" ht="18.75">
      <c r="A370" s="1008"/>
      <c r="B370" s="1008"/>
      <c r="C370" s="1025"/>
      <c r="D370" s="1024"/>
      <c r="E370" s="1017"/>
      <c r="F370" s="1018"/>
      <c r="G370" s="1017"/>
      <c r="H370" s="539"/>
      <c r="I370" s="312"/>
      <c r="J370" s="1008"/>
      <c r="K370" s="51"/>
      <c r="L370" s="43"/>
      <c r="M370" s="1017"/>
      <c r="N370" s="538"/>
      <c r="O370" s="536"/>
      <c r="P370" s="1008"/>
      <c r="Q370" s="51"/>
      <c r="R370" s="43"/>
      <c r="S370" s="1052"/>
      <c r="T370" s="12"/>
      <c r="U370" s="536"/>
      <c r="V370" s="536"/>
      <c r="W370" s="547"/>
      <c r="X370" s="536"/>
      <c r="Y370" s="537"/>
      <c r="Z370" s="12"/>
      <c r="AA370" s="536"/>
      <c r="AB370" s="536"/>
      <c r="AC370" s="547"/>
      <c r="AD370" s="536"/>
      <c r="AE370" s="537"/>
      <c r="AF370" s="12"/>
      <c r="AG370" s="536"/>
      <c r="AH370" s="536"/>
      <c r="AI370" s="547"/>
      <c r="AJ370" s="536"/>
      <c r="AK370" s="538"/>
      <c r="AL370" s="12"/>
      <c r="AM370" s="536"/>
      <c r="AN370" s="536"/>
      <c r="AO370" s="547"/>
      <c r="AP370" s="536"/>
      <c r="AQ370" s="538"/>
      <c r="AR370" s="530"/>
    </row>
    <row r="371" spans="1:44" ht="18.75">
      <c r="A371" s="1008">
        <v>189</v>
      </c>
      <c r="B371" s="1008">
        <v>735563</v>
      </c>
      <c r="C371" s="1025" t="s">
        <v>315</v>
      </c>
      <c r="D371" s="1024">
        <v>0.48</v>
      </c>
      <c r="E371" s="1017">
        <v>3545</v>
      </c>
      <c r="F371" s="1018">
        <v>0.48</v>
      </c>
      <c r="G371" s="1017">
        <v>3545</v>
      </c>
      <c r="H371" s="1019" t="s">
        <v>60</v>
      </c>
      <c r="I371" s="971" t="s">
        <v>2726</v>
      </c>
      <c r="J371" s="1020" t="s">
        <v>114</v>
      </c>
      <c r="K371" s="558">
        <v>0.48</v>
      </c>
      <c r="L371" s="553" t="s">
        <v>17</v>
      </c>
      <c r="M371" s="1017">
        <v>4295.9663700000001</v>
      </c>
      <c r="N371" s="538"/>
      <c r="O371" s="536"/>
      <c r="P371" s="536"/>
      <c r="Q371" s="547"/>
      <c r="R371" s="536"/>
      <c r="S371" s="725"/>
      <c r="T371" s="12"/>
      <c r="U371" s="536"/>
      <c r="V371" s="536"/>
      <c r="W371" s="547"/>
      <c r="X371" s="536"/>
      <c r="Y371" s="537"/>
      <c r="Z371" s="12"/>
      <c r="AA371" s="536"/>
      <c r="AB371" s="536"/>
      <c r="AC371" s="547"/>
      <c r="AD371" s="536"/>
      <c r="AE371" s="537"/>
      <c r="AF371" s="12"/>
      <c r="AG371" s="536"/>
      <c r="AH371" s="536"/>
      <c r="AI371" s="547"/>
      <c r="AJ371" s="536"/>
      <c r="AK371" s="538"/>
      <c r="AL371" s="12"/>
      <c r="AM371" s="536"/>
      <c r="AN371" s="536"/>
      <c r="AO371" s="547"/>
      <c r="AP371" s="536"/>
      <c r="AQ371" s="538"/>
      <c r="AR371" s="530"/>
    </row>
    <row r="372" spans="1:44" ht="18.75">
      <c r="A372" s="1008"/>
      <c r="B372" s="1008"/>
      <c r="C372" s="1025"/>
      <c r="D372" s="1024"/>
      <c r="E372" s="1017"/>
      <c r="F372" s="1018"/>
      <c r="G372" s="1017"/>
      <c r="H372" s="1019"/>
      <c r="I372" s="971"/>
      <c r="J372" s="1020"/>
      <c r="K372" s="51">
        <v>3545</v>
      </c>
      <c r="L372" s="43" t="s">
        <v>32</v>
      </c>
      <c r="M372" s="1017"/>
      <c r="N372" s="538"/>
      <c r="O372" s="536"/>
      <c r="P372" s="536"/>
      <c r="Q372" s="547"/>
      <c r="R372" s="536"/>
      <c r="S372" s="725"/>
      <c r="T372" s="12"/>
      <c r="U372" s="536"/>
      <c r="V372" s="536"/>
      <c r="W372" s="547"/>
      <c r="X372" s="536"/>
      <c r="Y372" s="537"/>
      <c r="Z372" s="12"/>
      <c r="AA372" s="536"/>
      <c r="AB372" s="536"/>
      <c r="AC372" s="547"/>
      <c r="AD372" s="536"/>
      <c r="AE372" s="537"/>
      <c r="AF372" s="12"/>
      <c r="AG372" s="536"/>
      <c r="AH372" s="536"/>
      <c r="AI372" s="547"/>
      <c r="AJ372" s="536"/>
      <c r="AK372" s="538"/>
      <c r="AL372" s="12"/>
      <c r="AM372" s="536"/>
      <c r="AN372" s="536"/>
      <c r="AO372" s="547"/>
      <c r="AP372" s="536"/>
      <c r="AQ372" s="538"/>
      <c r="AR372" s="530"/>
    </row>
    <row r="373" spans="1:44" ht="18.75">
      <c r="A373" s="1008">
        <v>190</v>
      </c>
      <c r="B373" s="1008">
        <v>740191</v>
      </c>
      <c r="C373" s="1025" t="s">
        <v>316</v>
      </c>
      <c r="D373" s="1024">
        <v>0.37</v>
      </c>
      <c r="E373" s="1017">
        <v>2314</v>
      </c>
      <c r="F373" s="1018">
        <v>0.37</v>
      </c>
      <c r="G373" s="1017">
        <v>2314</v>
      </c>
      <c r="H373" s="1019" t="s">
        <v>60</v>
      </c>
      <c r="I373" s="971" t="s">
        <v>2598</v>
      </c>
      <c r="J373" s="1020" t="s">
        <v>114</v>
      </c>
      <c r="K373" s="558">
        <v>0.2</v>
      </c>
      <c r="L373" s="553" t="s">
        <v>17</v>
      </c>
      <c r="M373" s="1017">
        <v>1411.3830599999999</v>
      </c>
      <c r="N373" s="538"/>
      <c r="O373" s="536"/>
      <c r="P373" s="536"/>
      <c r="Q373" s="547"/>
      <c r="R373" s="536"/>
      <c r="S373" s="725"/>
      <c r="T373" s="12"/>
      <c r="U373" s="536"/>
      <c r="V373" s="536"/>
      <c r="W373" s="547"/>
      <c r="X373" s="536"/>
      <c r="Y373" s="537"/>
      <c r="Z373" s="12"/>
      <c r="AA373" s="536"/>
      <c r="AB373" s="536"/>
      <c r="AC373" s="547"/>
      <c r="AD373" s="536"/>
      <c r="AE373" s="537"/>
      <c r="AF373" s="12"/>
      <c r="AG373" s="536"/>
      <c r="AH373" s="536"/>
      <c r="AI373" s="547"/>
      <c r="AJ373" s="536"/>
      <c r="AK373" s="538"/>
      <c r="AL373" s="12"/>
      <c r="AM373" s="536"/>
      <c r="AN373" s="536"/>
      <c r="AO373" s="547"/>
      <c r="AP373" s="536"/>
      <c r="AQ373" s="538"/>
      <c r="AR373" s="530"/>
    </row>
    <row r="374" spans="1:44" ht="18.75">
      <c r="A374" s="1008"/>
      <c r="B374" s="1008"/>
      <c r="C374" s="1025"/>
      <c r="D374" s="1024"/>
      <c r="E374" s="1017"/>
      <c r="F374" s="1018"/>
      <c r="G374" s="1017"/>
      <c r="H374" s="1019"/>
      <c r="I374" s="971"/>
      <c r="J374" s="1020"/>
      <c r="K374" s="51">
        <v>1200</v>
      </c>
      <c r="L374" s="43" t="s">
        <v>32</v>
      </c>
      <c r="M374" s="1017"/>
      <c r="N374" s="538"/>
      <c r="O374" s="536"/>
      <c r="P374" s="536"/>
      <c r="Q374" s="547"/>
      <c r="R374" s="536"/>
      <c r="S374" s="725"/>
      <c r="T374" s="12"/>
      <c r="U374" s="536"/>
      <c r="V374" s="536"/>
      <c r="W374" s="547"/>
      <c r="X374" s="536"/>
      <c r="Y374" s="537"/>
      <c r="Z374" s="12"/>
      <c r="AA374" s="536"/>
      <c r="AB374" s="536"/>
      <c r="AC374" s="547"/>
      <c r="AD374" s="536"/>
      <c r="AE374" s="537"/>
      <c r="AF374" s="12"/>
      <c r="AG374" s="536"/>
      <c r="AH374" s="536"/>
      <c r="AI374" s="547"/>
      <c r="AJ374" s="536"/>
      <c r="AK374" s="538"/>
      <c r="AL374" s="12"/>
      <c r="AM374" s="536"/>
      <c r="AN374" s="536"/>
      <c r="AO374" s="547"/>
      <c r="AP374" s="536"/>
      <c r="AQ374" s="538"/>
      <c r="AR374" s="530"/>
    </row>
    <row r="375" spans="1:44" ht="18.75">
      <c r="A375" s="1008">
        <v>191</v>
      </c>
      <c r="B375" s="1008">
        <v>735090</v>
      </c>
      <c r="C375" s="1025" t="s">
        <v>318</v>
      </c>
      <c r="D375" s="1024">
        <v>0.85</v>
      </c>
      <c r="E375" s="1017">
        <v>5871</v>
      </c>
      <c r="F375" s="1018">
        <v>0.85</v>
      </c>
      <c r="G375" s="1017">
        <v>5871</v>
      </c>
      <c r="H375" s="971" t="s">
        <v>60</v>
      </c>
      <c r="I375" s="971" t="s">
        <v>2733</v>
      </c>
      <c r="J375" s="1020" t="s">
        <v>114</v>
      </c>
      <c r="K375" s="558">
        <v>0.85</v>
      </c>
      <c r="L375" s="553" t="s">
        <v>17</v>
      </c>
      <c r="M375" s="1017">
        <v>6899.3743299999996</v>
      </c>
      <c r="N375" s="538"/>
      <c r="O375" s="536"/>
      <c r="P375" s="536"/>
      <c r="Q375" s="547"/>
      <c r="R375" s="536"/>
      <c r="S375" s="725"/>
      <c r="T375" s="12"/>
      <c r="U375" s="536"/>
      <c r="V375" s="536"/>
      <c r="W375" s="547"/>
      <c r="X375" s="536"/>
      <c r="Y375" s="537"/>
      <c r="Z375" s="12"/>
      <c r="AA375" s="536"/>
      <c r="AB375" s="536"/>
      <c r="AC375" s="547"/>
      <c r="AD375" s="536"/>
      <c r="AE375" s="537"/>
      <c r="AF375" s="12"/>
      <c r="AG375" s="536"/>
      <c r="AH375" s="536"/>
      <c r="AI375" s="547"/>
      <c r="AJ375" s="536"/>
      <c r="AK375" s="538"/>
      <c r="AL375" s="12"/>
      <c r="AM375" s="536"/>
      <c r="AN375" s="536"/>
      <c r="AO375" s="547"/>
      <c r="AP375" s="536"/>
      <c r="AQ375" s="538"/>
      <c r="AR375" s="530"/>
    </row>
    <row r="376" spans="1:44" ht="18.75">
      <c r="A376" s="1008"/>
      <c r="B376" s="1008"/>
      <c r="C376" s="1025"/>
      <c r="D376" s="1024"/>
      <c r="E376" s="1017"/>
      <c r="F376" s="1018"/>
      <c r="G376" s="1017"/>
      <c r="H376" s="971"/>
      <c r="I376" s="971"/>
      <c r="J376" s="1020"/>
      <c r="K376" s="51">
        <v>5871</v>
      </c>
      <c r="L376" s="43" t="s">
        <v>32</v>
      </c>
      <c r="M376" s="1017"/>
      <c r="N376" s="538"/>
      <c r="O376" s="536"/>
      <c r="P376" s="536"/>
      <c r="Q376" s="547"/>
      <c r="R376" s="536"/>
      <c r="S376" s="725"/>
      <c r="T376" s="12"/>
      <c r="U376" s="536"/>
      <c r="V376" s="536"/>
      <c r="W376" s="547"/>
      <c r="X376" s="536"/>
      <c r="Y376" s="537"/>
      <c r="Z376" s="12"/>
      <c r="AA376" s="536"/>
      <c r="AB376" s="536"/>
      <c r="AC376" s="547"/>
      <c r="AD376" s="536"/>
      <c r="AE376" s="537"/>
      <c r="AF376" s="12"/>
      <c r="AG376" s="536"/>
      <c r="AH376" s="536"/>
      <c r="AI376" s="547"/>
      <c r="AJ376" s="536"/>
      <c r="AK376" s="538"/>
      <c r="AL376" s="12"/>
      <c r="AM376" s="536"/>
      <c r="AN376" s="536"/>
      <c r="AO376" s="547"/>
      <c r="AP376" s="536"/>
      <c r="AQ376" s="538"/>
      <c r="AR376" s="530"/>
    </row>
    <row r="377" spans="1:44" ht="18.75">
      <c r="A377" s="1008">
        <v>192</v>
      </c>
      <c r="B377" s="1008">
        <v>739025</v>
      </c>
      <c r="C377" s="1025" t="s">
        <v>319</v>
      </c>
      <c r="D377" s="1024">
        <v>0.98099999999999998</v>
      </c>
      <c r="E377" s="1017">
        <v>7850</v>
      </c>
      <c r="F377" s="1018">
        <v>0.98</v>
      </c>
      <c r="G377" s="1017">
        <v>7850</v>
      </c>
      <c r="H377" s="539"/>
      <c r="I377" s="312"/>
      <c r="J377" s="1008"/>
      <c r="K377" s="42"/>
      <c r="L377" s="553"/>
      <c r="M377" s="1017"/>
      <c r="N377" s="903" t="s">
        <v>60</v>
      </c>
      <c r="O377" s="903" t="s">
        <v>2909</v>
      </c>
      <c r="P377" s="1020" t="s">
        <v>114</v>
      </c>
      <c r="Q377" s="558">
        <v>0.98</v>
      </c>
      <c r="R377" s="553" t="s">
        <v>17</v>
      </c>
      <c r="S377" s="1051">
        <v>9994.32</v>
      </c>
      <c r="T377" s="12"/>
      <c r="U377" s="536"/>
      <c r="V377" s="536"/>
      <c r="W377" s="547"/>
      <c r="X377" s="536"/>
      <c r="Y377" s="537"/>
      <c r="Z377" s="12"/>
      <c r="AA377" s="536"/>
      <c r="AB377" s="536"/>
      <c r="AC377" s="547"/>
      <c r="AD377" s="536"/>
      <c r="AE377" s="537"/>
      <c r="AF377" s="12"/>
      <c r="AG377" s="536"/>
      <c r="AH377" s="536"/>
      <c r="AI377" s="547"/>
      <c r="AJ377" s="536"/>
      <c r="AK377" s="538"/>
      <c r="AL377" s="12"/>
      <c r="AM377" s="536"/>
      <c r="AN377" s="536"/>
      <c r="AO377" s="547"/>
      <c r="AP377" s="536"/>
      <c r="AQ377" s="538"/>
      <c r="AR377" s="530"/>
    </row>
    <row r="378" spans="1:44" ht="18.75">
      <c r="A378" s="1008"/>
      <c r="B378" s="1008"/>
      <c r="C378" s="1025"/>
      <c r="D378" s="1024"/>
      <c r="E378" s="1017"/>
      <c r="F378" s="1018"/>
      <c r="G378" s="1017"/>
      <c r="H378" s="539"/>
      <c r="I378" s="312"/>
      <c r="J378" s="1008"/>
      <c r="K378" s="51"/>
      <c r="L378" s="43"/>
      <c r="M378" s="1017"/>
      <c r="N378" s="903"/>
      <c r="O378" s="903"/>
      <c r="P378" s="1020"/>
      <c r="Q378" s="51">
        <f>Q377*G377/F377</f>
        <v>7850</v>
      </c>
      <c r="R378" s="43" t="s">
        <v>32</v>
      </c>
      <c r="S378" s="1052"/>
      <c r="T378" s="12"/>
      <c r="U378" s="536"/>
      <c r="V378" s="536"/>
      <c r="W378" s="547"/>
      <c r="X378" s="536"/>
      <c r="Y378" s="537"/>
      <c r="Z378" s="12"/>
      <c r="AA378" s="536"/>
      <c r="AB378" s="536"/>
      <c r="AC378" s="547"/>
      <c r="AD378" s="536"/>
      <c r="AE378" s="537"/>
      <c r="AF378" s="12"/>
      <c r="AG378" s="536"/>
      <c r="AH378" s="536"/>
      <c r="AI378" s="547"/>
      <c r="AJ378" s="536"/>
      <c r="AK378" s="538"/>
      <c r="AL378" s="12"/>
      <c r="AM378" s="536"/>
      <c r="AN378" s="536"/>
      <c r="AO378" s="547"/>
      <c r="AP378" s="536"/>
      <c r="AQ378" s="538"/>
      <c r="AR378" s="530"/>
    </row>
    <row r="379" spans="1:44" ht="18.75">
      <c r="A379" s="1008">
        <v>193</v>
      </c>
      <c r="B379" s="1008">
        <v>749438</v>
      </c>
      <c r="C379" s="1025" t="s">
        <v>320</v>
      </c>
      <c r="D379" s="1024">
        <v>0.2</v>
      </c>
      <c r="E379" s="1017">
        <v>1182</v>
      </c>
      <c r="F379" s="1018">
        <v>0.2</v>
      </c>
      <c r="G379" s="1017">
        <v>1182</v>
      </c>
      <c r="H379" s="1019" t="s">
        <v>60</v>
      </c>
      <c r="I379" s="971" t="s">
        <v>2598</v>
      </c>
      <c r="J379" s="1020" t="s">
        <v>114</v>
      </c>
      <c r="K379" s="558">
        <v>0.2</v>
      </c>
      <c r="L379" s="553" t="s">
        <v>17</v>
      </c>
      <c r="M379" s="1017">
        <v>1779.68255</v>
      </c>
      <c r="N379" s="538"/>
      <c r="O379" s="536"/>
      <c r="P379" s="536"/>
      <c r="Q379" s="547"/>
      <c r="R379" s="536"/>
      <c r="S379" s="725"/>
      <c r="T379" s="12"/>
      <c r="U379" s="536"/>
      <c r="V379" s="536"/>
      <c r="W379" s="547"/>
      <c r="X379" s="536"/>
      <c r="Y379" s="537"/>
      <c r="Z379" s="12"/>
      <c r="AA379" s="536"/>
      <c r="AB379" s="536"/>
      <c r="AC379" s="547"/>
      <c r="AD379" s="536"/>
      <c r="AE379" s="537"/>
      <c r="AF379" s="12"/>
      <c r="AG379" s="536"/>
      <c r="AH379" s="536"/>
      <c r="AI379" s="547"/>
      <c r="AJ379" s="536"/>
      <c r="AK379" s="538"/>
      <c r="AL379" s="12"/>
      <c r="AM379" s="536"/>
      <c r="AN379" s="536"/>
      <c r="AO379" s="547"/>
      <c r="AP379" s="536"/>
      <c r="AQ379" s="538"/>
      <c r="AR379" s="530"/>
    </row>
    <row r="380" spans="1:44" ht="18.75">
      <c r="A380" s="1008"/>
      <c r="B380" s="1008"/>
      <c r="C380" s="1025"/>
      <c r="D380" s="1024"/>
      <c r="E380" s="1017"/>
      <c r="F380" s="1018"/>
      <c r="G380" s="1017"/>
      <c r="H380" s="1019"/>
      <c r="I380" s="971"/>
      <c r="J380" s="1020"/>
      <c r="K380" s="51">
        <v>1470</v>
      </c>
      <c r="L380" s="43" t="s">
        <v>32</v>
      </c>
      <c r="M380" s="1017"/>
      <c r="N380" s="538"/>
      <c r="O380" s="536"/>
      <c r="P380" s="536"/>
      <c r="Q380" s="547"/>
      <c r="R380" s="536"/>
      <c r="S380" s="725"/>
      <c r="T380" s="12"/>
      <c r="U380" s="536"/>
      <c r="V380" s="536"/>
      <c r="W380" s="547"/>
      <c r="X380" s="536"/>
      <c r="Y380" s="537"/>
      <c r="Z380" s="12"/>
      <c r="AA380" s="536"/>
      <c r="AB380" s="536"/>
      <c r="AC380" s="547"/>
      <c r="AD380" s="536"/>
      <c r="AE380" s="537"/>
      <c r="AF380" s="12"/>
      <c r="AG380" s="536"/>
      <c r="AH380" s="536"/>
      <c r="AI380" s="547"/>
      <c r="AJ380" s="536"/>
      <c r="AK380" s="538"/>
      <c r="AL380" s="12"/>
      <c r="AM380" s="536"/>
      <c r="AN380" s="536"/>
      <c r="AO380" s="547"/>
      <c r="AP380" s="536"/>
      <c r="AQ380" s="538"/>
      <c r="AR380" s="530"/>
    </row>
    <row r="381" spans="1:44" ht="18.75">
      <c r="A381" s="1008">
        <v>194</v>
      </c>
      <c r="B381" s="1008">
        <v>738911</v>
      </c>
      <c r="C381" s="1025" t="s">
        <v>321</v>
      </c>
      <c r="D381" s="1024">
        <v>0.67</v>
      </c>
      <c r="E381" s="1017">
        <v>4464</v>
      </c>
      <c r="F381" s="1018">
        <v>0.67</v>
      </c>
      <c r="G381" s="1017">
        <v>4464</v>
      </c>
      <c r="H381" s="1019" t="s">
        <v>60</v>
      </c>
      <c r="I381" s="971" t="s">
        <v>2728</v>
      </c>
      <c r="J381" s="1020" t="s">
        <v>114</v>
      </c>
      <c r="K381" s="558">
        <v>0.67</v>
      </c>
      <c r="L381" s="553" t="s">
        <v>17</v>
      </c>
      <c r="M381" s="1017">
        <v>6110.43678</v>
      </c>
      <c r="N381" s="538"/>
      <c r="O381" s="536"/>
      <c r="P381" s="536"/>
      <c r="Q381" s="547"/>
      <c r="R381" s="536"/>
      <c r="S381" s="725"/>
      <c r="T381" s="12"/>
      <c r="U381" s="536"/>
      <c r="V381" s="536"/>
      <c r="W381" s="547"/>
      <c r="X381" s="536"/>
      <c r="Y381" s="537"/>
      <c r="Z381" s="12"/>
      <c r="AA381" s="536"/>
      <c r="AB381" s="536"/>
      <c r="AC381" s="547"/>
      <c r="AD381" s="536"/>
      <c r="AE381" s="537"/>
      <c r="AF381" s="12"/>
      <c r="AG381" s="536"/>
      <c r="AH381" s="536"/>
      <c r="AI381" s="547"/>
      <c r="AJ381" s="536"/>
      <c r="AK381" s="538"/>
      <c r="AL381" s="12"/>
      <c r="AM381" s="536"/>
      <c r="AN381" s="536"/>
      <c r="AO381" s="547"/>
      <c r="AP381" s="536"/>
      <c r="AQ381" s="538"/>
      <c r="AR381" s="530"/>
    </row>
    <row r="382" spans="1:44" ht="18.75">
      <c r="A382" s="1008"/>
      <c r="B382" s="1008"/>
      <c r="C382" s="1025"/>
      <c r="D382" s="1024"/>
      <c r="E382" s="1017"/>
      <c r="F382" s="1018"/>
      <c r="G382" s="1017"/>
      <c r="H382" s="1019"/>
      <c r="I382" s="971"/>
      <c r="J382" s="1020"/>
      <c r="K382" s="51">
        <v>5214</v>
      </c>
      <c r="L382" s="43" t="s">
        <v>32</v>
      </c>
      <c r="M382" s="1017"/>
      <c r="N382" s="538"/>
      <c r="O382" s="536"/>
      <c r="P382" s="536"/>
      <c r="Q382" s="547"/>
      <c r="R382" s="536"/>
      <c r="S382" s="725"/>
      <c r="T382" s="12"/>
      <c r="U382" s="536"/>
      <c r="V382" s="536"/>
      <c r="W382" s="547"/>
      <c r="X382" s="536"/>
      <c r="Y382" s="537"/>
      <c r="Z382" s="12"/>
      <c r="AA382" s="536"/>
      <c r="AB382" s="536"/>
      <c r="AC382" s="547"/>
      <c r="AD382" s="536"/>
      <c r="AE382" s="537"/>
      <c r="AF382" s="12"/>
      <c r="AG382" s="536"/>
      <c r="AH382" s="536"/>
      <c r="AI382" s="547"/>
      <c r="AJ382" s="536"/>
      <c r="AK382" s="538"/>
      <c r="AL382" s="12"/>
      <c r="AM382" s="536"/>
      <c r="AN382" s="536"/>
      <c r="AO382" s="547"/>
      <c r="AP382" s="536"/>
      <c r="AQ382" s="538"/>
      <c r="AR382" s="530"/>
    </row>
    <row r="383" spans="1:44" ht="18.75">
      <c r="A383" s="1008">
        <v>195</v>
      </c>
      <c r="B383" s="1008">
        <v>742363</v>
      </c>
      <c r="C383" s="1025" t="s">
        <v>322</v>
      </c>
      <c r="D383" s="1024">
        <v>0.222</v>
      </c>
      <c r="E383" s="1017">
        <v>2076</v>
      </c>
      <c r="F383" s="1018">
        <v>0.222</v>
      </c>
      <c r="G383" s="1017">
        <v>2076</v>
      </c>
      <c r="H383" s="539"/>
      <c r="I383" s="312"/>
      <c r="J383" s="1008"/>
      <c r="K383" s="42"/>
      <c r="L383" s="553"/>
      <c r="M383" s="1017"/>
      <c r="N383" s="538"/>
      <c r="O383" s="536"/>
      <c r="P383" s="536"/>
      <c r="Q383" s="547"/>
      <c r="R383" s="536"/>
      <c r="S383" s="725"/>
      <c r="T383" s="12"/>
      <c r="U383" s="536"/>
      <c r="V383" s="536"/>
      <c r="W383" s="547"/>
      <c r="X383" s="536"/>
      <c r="Y383" s="537"/>
      <c r="Z383" s="1031" t="s">
        <v>60</v>
      </c>
      <c r="AA383" s="1023" t="s">
        <v>2937</v>
      </c>
      <c r="AB383" s="1020" t="s">
        <v>114</v>
      </c>
      <c r="AC383" s="547">
        <v>0.222</v>
      </c>
      <c r="AD383" s="553" t="s">
        <v>17</v>
      </c>
      <c r="AE383" s="1050">
        <v>2000</v>
      </c>
      <c r="AF383" s="12"/>
      <c r="AG383" s="536"/>
      <c r="AH383" s="536"/>
      <c r="AI383" s="547"/>
      <c r="AJ383" s="536"/>
      <c r="AK383" s="538"/>
      <c r="AL383" s="12"/>
      <c r="AM383" s="536"/>
      <c r="AN383" s="536"/>
      <c r="AO383" s="547"/>
      <c r="AP383" s="536"/>
      <c r="AQ383" s="538"/>
      <c r="AR383" s="530"/>
    </row>
    <row r="384" spans="1:44" ht="18.75">
      <c r="A384" s="1008"/>
      <c r="B384" s="1008"/>
      <c r="C384" s="1025"/>
      <c r="D384" s="1024"/>
      <c r="E384" s="1017"/>
      <c r="F384" s="1018"/>
      <c r="G384" s="1017"/>
      <c r="H384" s="539"/>
      <c r="I384" s="312"/>
      <c r="J384" s="1008"/>
      <c r="K384" s="51"/>
      <c r="L384" s="43"/>
      <c r="M384" s="1017"/>
      <c r="N384" s="538"/>
      <c r="O384" s="536"/>
      <c r="P384" s="536"/>
      <c r="Q384" s="547"/>
      <c r="R384" s="536"/>
      <c r="S384" s="725"/>
      <c r="T384" s="12"/>
      <c r="U384" s="536"/>
      <c r="V384" s="536"/>
      <c r="W384" s="547"/>
      <c r="X384" s="536"/>
      <c r="Y384" s="537"/>
      <c r="Z384" s="1026"/>
      <c r="AA384" s="1026"/>
      <c r="AB384" s="1020"/>
      <c r="AC384" s="62">
        <v>2076</v>
      </c>
      <c r="AD384" s="43" t="s">
        <v>32</v>
      </c>
      <c r="AE384" s="1050"/>
      <c r="AF384" s="12"/>
      <c r="AG384" s="536"/>
      <c r="AH384" s="536"/>
      <c r="AI384" s="547"/>
      <c r="AJ384" s="536"/>
      <c r="AK384" s="538"/>
      <c r="AL384" s="12"/>
      <c r="AM384" s="536"/>
      <c r="AN384" s="536"/>
      <c r="AO384" s="547"/>
      <c r="AP384" s="536"/>
      <c r="AQ384" s="538"/>
      <c r="AR384" s="530"/>
    </row>
    <row r="385" spans="1:44" ht="18.75">
      <c r="A385" s="1008">
        <v>196</v>
      </c>
      <c r="B385" s="1008">
        <v>736223</v>
      </c>
      <c r="C385" s="1025" t="s">
        <v>323</v>
      </c>
      <c r="D385" s="1024">
        <v>0.7</v>
      </c>
      <c r="E385" s="1017">
        <v>8136</v>
      </c>
      <c r="F385" s="1018">
        <v>0.7</v>
      </c>
      <c r="G385" s="1017">
        <v>8136</v>
      </c>
      <c r="H385" s="1019" t="s">
        <v>60</v>
      </c>
      <c r="I385" s="971" t="s">
        <v>2728</v>
      </c>
      <c r="J385" s="1020" t="s">
        <v>114</v>
      </c>
      <c r="K385" s="558">
        <v>0.69</v>
      </c>
      <c r="L385" s="553" t="s">
        <v>17</v>
      </c>
      <c r="M385" s="1017">
        <v>8203.7455800000007</v>
      </c>
      <c r="N385" s="538"/>
      <c r="O385" s="536"/>
      <c r="P385" s="536"/>
      <c r="Q385" s="547"/>
      <c r="R385" s="536"/>
      <c r="S385" s="725"/>
      <c r="T385" s="12"/>
      <c r="U385" s="536"/>
      <c r="V385" s="536"/>
      <c r="W385" s="547"/>
      <c r="X385" s="536"/>
      <c r="Y385" s="537"/>
      <c r="Z385" s="12"/>
      <c r="AA385" s="536"/>
      <c r="AB385" s="536"/>
      <c r="AC385" s="547"/>
      <c r="AD385" s="536"/>
      <c r="AE385" s="537"/>
      <c r="AF385" s="12"/>
      <c r="AG385" s="536"/>
      <c r="AH385" s="536"/>
      <c r="AI385" s="547"/>
      <c r="AJ385" s="536"/>
      <c r="AK385" s="538"/>
      <c r="AL385" s="12"/>
      <c r="AM385" s="536"/>
      <c r="AN385" s="536"/>
      <c r="AO385" s="547"/>
      <c r="AP385" s="536"/>
      <c r="AQ385" s="538"/>
      <c r="AR385" s="530"/>
    </row>
    <row r="386" spans="1:44" ht="18.75">
      <c r="A386" s="1008"/>
      <c r="B386" s="1008"/>
      <c r="C386" s="1025"/>
      <c r="D386" s="1024"/>
      <c r="E386" s="1017"/>
      <c r="F386" s="1018"/>
      <c r="G386" s="1017"/>
      <c r="H386" s="1019"/>
      <c r="I386" s="971"/>
      <c r="J386" s="1020"/>
      <c r="K386" s="51">
        <v>6935</v>
      </c>
      <c r="L386" s="43" t="s">
        <v>32</v>
      </c>
      <c r="M386" s="1017"/>
      <c r="N386" s="538"/>
      <c r="O386" s="536"/>
      <c r="P386" s="536"/>
      <c r="Q386" s="547"/>
      <c r="R386" s="536"/>
      <c r="S386" s="725"/>
      <c r="T386" s="12"/>
      <c r="U386" s="536"/>
      <c r="V386" s="536"/>
      <c r="W386" s="547"/>
      <c r="X386" s="536"/>
      <c r="Y386" s="537"/>
      <c r="Z386" s="12"/>
      <c r="AA386" s="536"/>
      <c r="AB386" s="536"/>
      <c r="AC386" s="547"/>
      <c r="AD386" s="536"/>
      <c r="AE386" s="537"/>
      <c r="AF386" s="12"/>
      <c r="AG386" s="536"/>
      <c r="AH386" s="536"/>
      <c r="AI386" s="547"/>
      <c r="AJ386" s="536"/>
      <c r="AK386" s="538"/>
      <c r="AL386" s="12"/>
      <c r="AM386" s="536"/>
      <c r="AN386" s="536"/>
      <c r="AO386" s="547"/>
      <c r="AP386" s="536"/>
      <c r="AQ386" s="538"/>
      <c r="AR386" s="530"/>
    </row>
    <row r="387" spans="1:44" ht="18.75">
      <c r="A387" s="1008">
        <v>197</v>
      </c>
      <c r="B387" s="1008">
        <v>736056</v>
      </c>
      <c r="C387" s="1025" t="s">
        <v>325</v>
      </c>
      <c r="D387" s="1024">
        <v>1.26</v>
      </c>
      <c r="E387" s="1017">
        <v>12054</v>
      </c>
      <c r="F387" s="1018">
        <v>1.26</v>
      </c>
      <c r="G387" s="1017">
        <v>12054</v>
      </c>
      <c r="H387" s="1019" t="s">
        <v>60</v>
      </c>
      <c r="I387" s="1019" t="s">
        <v>2749</v>
      </c>
      <c r="J387" s="1020" t="s">
        <v>114</v>
      </c>
      <c r="K387" s="558">
        <v>1.26</v>
      </c>
      <c r="L387" s="553" t="s">
        <v>17</v>
      </c>
      <c r="M387" s="1017">
        <v>14025.959210000001</v>
      </c>
      <c r="N387" s="538"/>
      <c r="O387" s="536"/>
      <c r="P387" s="536"/>
      <c r="Q387" s="547"/>
      <c r="R387" s="536"/>
      <c r="S387" s="725"/>
      <c r="T387" s="12"/>
      <c r="U387" s="536"/>
      <c r="V387" s="536"/>
      <c r="W387" s="547"/>
      <c r="X387" s="536"/>
      <c r="Y387" s="537"/>
      <c r="Z387" s="12"/>
      <c r="AA387" s="536"/>
      <c r="AB387" s="536"/>
      <c r="AC387" s="547"/>
      <c r="AD387" s="536"/>
      <c r="AE387" s="537"/>
      <c r="AF387" s="12"/>
      <c r="AG387" s="536"/>
      <c r="AH387" s="536"/>
      <c r="AI387" s="547"/>
      <c r="AJ387" s="536"/>
      <c r="AK387" s="538"/>
      <c r="AL387" s="12"/>
      <c r="AM387" s="536"/>
      <c r="AN387" s="536"/>
      <c r="AO387" s="547"/>
      <c r="AP387" s="536"/>
      <c r="AQ387" s="538"/>
      <c r="AR387" s="530"/>
    </row>
    <row r="388" spans="1:44" ht="18.75">
      <c r="A388" s="1008"/>
      <c r="B388" s="1008"/>
      <c r="C388" s="1025"/>
      <c r="D388" s="1024"/>
      <c r="E388" s="1017"/>
      <c r="F388" s="1018"/>
      <c r="G388" s="1017"/>
      <c r="H388" s="1019"/>
      <c r="I388" s="1019"/>
      <c r="J388" s="1020"/>
      <c r="K388" s="51">
        <v>12054</v>
      </c>
      <c r="L388" s="43" t="s">
        <v>32</v>
      </c>
      <c r="M388" s="1017"/>
      <c r="N388" s="538"/>
      <c r="O388" s="536"/>
      <c r="P388" s="536"/>
      <c r="Q388" s="547"/>
      <c r="R388" s="536"/>
      <c r="S388" s="725"/>
      <c r="T388" s="12"/>
      <c r="U388" s="536"/>
      <c r="V388" s="536"/>
      <c r="W388" s="547"/>
      <c r="X388" s="536"/>
      <c r="Y388" s="537"/>
      <c r="Z388" s="12"/>
      <c r="AA388" s="536"/>
      <c r="AB388" s="536"/>
      <c r="AC388" s="547"/>
      <c r="AD388" s="536"/>
      <c r="AE388" s="537"/>
      <c r="AF388" s="12"/>
      <c r="AG388" s="536"/>
      <c r="AH388" s="536"/>
      <c r="AI388" s="547"/>
      <c r="AJ388" s="536"/>
      <c r="AK388" s="538"/>
      <c r="AL388" s="12"/>
      <c r="AM388" s="536"/>
      <c r="AN388" s="536"/>
      <c r="AO388" s="547"/>
      <c r="AP388" s="536"/>
      <c r="AQ388" s="538"/>
      <c r="AR388" s="530"/>
    </row>
    <row r="389" spans="1:44" ht="18.75">
      <c r="A389" s="1008">
        <v>198</v>
      </c>
      <c r="B389" s="1008">
        <v>737857</v>
      </c>
      <c r="C389" s="1025" t="s">
        <v>2836</v>
      </c>
      <c r="D389" s="1024">
        <v>0.76</v>
      </c>
      <c r="E389" s="1017">
        <v>7990</v>
      </c>
      <c r="F389" s="1018">
        <v>0.76</v>
      </c>
      <c r="G389" s="1017">
        <v>7990</v>
      </c>
      <c r="H389" s="1019" t="s">
        <v>60</v>
      </c>
      <c r="I389" s="971" t="s">
        <v>2713</v>
      </c>
      <c r="J389" s="1020" t="s">
        <v>114</v>
      </c>
      <c r="K389" s="558">
        <v>0.35</v>
      </c>
      <c r="L389" s="553" t="s">
        <v>17</v>
      </c>
      <c r="M389" s="1017">
        <v>3226.2949199999998</v>
      </c>
      <c r="N389" s="538"/>
      <c r="O389" s="536"/>
      <c r="P389" s="536"/>
      <c r="Q389" s="547"/>
      <c r="R389" s="536"/>
      <c r="S389" s="725"/>
      <c r="T389" s="12"/>
      <c r="U389" s="536"/>
      <c r="V389" s="536"/>
      <c r="W389" s="547"/>
      <c r="X389" s="536"/>
      <c r="Y389" s="537"/>
      <c r="Z389" s="1031" t="s">
        <v>60</v>
      </c>
      <c r="AA389" s="1023" t="s">
        <v>2936</v>
      </c>
      <c r="AB389" s="1020" t="s">
        <v>114</v>
      </c>
      <c r="AC389" s="547">
        <v>0.41</v>
      </c>
      <c r="AD389" s="553" t="s">
        <v>17</v>
      </c>
      <c r="AE389" s="1050">
        <v>4000</v>
      </c>
      <c r="AF389" s="12"/>
      <c r="AG389" s="536"/>
      <c r="AH389" s="536"/>
      <c r="AI389" s="547"/>
      <c r="AJ389" s="536"/>
      <c r="AK389" s="538"/>
      <c r="AL389" s="12"/>
      <c r="AM389" s="536"/>
      <c r="AN389" s="536"/>
      <c r="AO389" s="547"/>
      <c r="AP389" s="536"/>
      <c r="AQ389" s="538"/>
      <c r="AR389" s="530"/>
    </row>
    <row r="390" spans="1:44" ht="18.75">
      <c r="A390" s="1008"/>
      <c r="B390" s="1008"/>
      <c r="C390" s="1025"/>
      <c r="D390" s="1024"/>
      <c r="E390" s="1017"/>
      <c r="F390" s="1018"/>
      <c r="G390" s="1017"/>
      <c r="H390" s="1019"/>
      <c r="I390" s="971"/>
      <c r="J390" s="1020"/>
      <c r="K390" s="51">
        <v>2775</v>
      </c>
      <c r="L390" s="43" t="s">
        <v>32</v>
      </c>
      <c r="M390" s="1017"/>
      <c r="N390" s="538"/>
      <c r="O390" s="536"/>
      <c r="P390" s="536"/>
      <c r="Q390" s="547"/>
      <c r="R390" s="536"/>
      <c r="S390" s="725"/>
      <c r="T390" s="12"/>
      <c r="U390" s="536"/>
      <c r="V390" s="536"/>
      <c r="W390" s="547"/>
      <c r="X390" s="536"/>
      <c r="Y390" s="537"/>
      <c r="Z390" s="1026"/>
      <c r="AA390" s="1026"/>
      <c r="AB390" s="1020"/>
      <c r="AC390" s="536">
        <v>6790</v>
      </c>
      <c r="AD390" s="43" t="s">
        <v>32</v>
      </c>
      <c r="AE390" s="1050"/>
      <c r="AF390" s="12"/>
      <c r="AG390" s="536"/>
      <c r="AH390" s="536"/>
      <c r="AI390" s="547"/>
      <c r="AJ390" s="536"/>
      <c r="AK390" s="538"/>
      <c r="AL390" s="12"/>
      <c r="AM390" s="536"/>
      <c r="AN390" s="536"/>
      <c r="AO390" s="547"/>
      <c r="AP390" s="536"/>
      <c r="AQ390" s="538"/>
      <c r="AR390" s="530"/>
    </row>
    <row r="391" spans="1:44" ht="56.25">
      <c r="A391" s="1008">
        <v>199</v>
      </c>
      <c r="B391" s="1008">
        <v>739414</v>
      </c>
      <c r="C391" s="1025" t="s">
        <v>327</v>
      </c>
      <c r="D391" s="1024">
        <v>1.05</v>
      </c>
      <c r="E391" s="1017">
        <v>6002</v>
      </c>
      <c r="F391" s="1018">
        <v>1.05</v>
      </c>
      <c r="G391" s="1017">
        <v>6002</v>
      </c>
      <c r="H391" s="539"/>
      <c r="I391" s="312"/>
      <c r="J391" s="536"/>
      <c r="K391" s="42"/>
      <c r="L391" s="50"/>
      <c r="M391" s="537"/>
      <c r="N391" s="538"/>
      <c r="O391" s="536"/>
      <c r="P391" s="536"/>
      <c r="Q391" s="547"/>
      <c r="R391" s="536"/>
      <c r="S391" s="725"/>
      <c r="T391" s="12"/>
      <c r="U391" s="536"/>
      <c r="V391" s="536"/>
      <c r="W391" s="547"/>
      <c r="X391" s="536"/>
      <c r="Y391" s="537"/>
      <c r="Z391" s="1031"/>
      <c r="AA391" s="1023"/>
      <c r="AB391" s="536" t="s">
        <v>93</v>
      </c>
      <c r="AC391" s="547">
        <v>1</v>
      </c>
      <c r="AD391" s="536" t="s">
        <v>118</v>
      </c>
      <c r="AE391" s="537">
        <v>50</v>
      </c>
      <c r="AF391" s="12"/>
      <c r="AG391" s="536"/>
      <c r="AH391" s="536"/>
      <c r="AI391" s="547"/>
      <c r="AJ391" s="536"/>
      <c r="AK391" s="538"/>
      <c r="AL391" s="12"/>
      <c r="AM391" s="536"/>
      <c r="AN391" s="536"/>
      <c r="AO391" s="547"/>
      <c r="AP391" s="536"/>
      <c r="AQ391" s="538"/>
      <c r="AR391" s="530"/>
    </row>
    <row r="392" spans="1:44" ht="18.75">
      <c r="A392" s="1008"/>
      <c r="B392" s="1008"/>
      <c r="C392" s="1025"/>
      <c r="D392" s="1024"/>
      <c r="E392" s="1017"/>
      <c r="F392" s="1018"/>
      <c r="G392" s="1017"/>
      <c r="H392" s="539"/>
      <c r="I392" s="312"/>
      <c r="J392" s="536"/>
      <c r="K392" s="42"/>
      <c r="L392" s="50"/>
      <c r="M392" s="537"/>
      <c r="N392" s="538"/>
      <c r="O392" s="536"/>
      <c r="P392" s="536"/>
      <c r="Q392" s="547"/>
      <c r="R392" s="536"/>
      <c r="S392" s="725"/>
      <c r="T392" s="12"/>
      <c r="U392" s="536"/>
      <c r="V392" s="536"/>
      <c r="W392" s="547"/>
      <c r="X392" s="536"/>
      <c r="Y392" s="537"/>
      <c r="Z392" s="1026"/>
      <c r="AA392" s="1026"/>
      <c r="AB392" s="536"/>
      <c r="AC392" s="547"/>
      <c r="AD392" s="536"/>
      <c r="AE392" s="537"/>
      <c r="AF392" s="12"/>
      <c r="AG392" s="536"/>
      <c r="AH392" s="536"/>
      <c r="AI392" s="547"/>
      <c r="AJ392" s="536"/>
      <c r="AK392" s="538"/>
      <c r="AL392" s="12"/>
      <c r="AM392" s="536"/>
      <c r="AN392" s="536"/>
      <c r="AO392" s="547"/>
      <c r="AP392" s="536"/>
      <c r="AQ392" s="538"/>
      <c r="AR392" s="530"/>
    </row>
    <row r="393" spans="1:44" ht="56.25">
      <c r="A393" s="1008">
        <v>200</v>
      </c>
      <c r="B393" s="1008">
        <v>736098</v>
      </c>
      <c r="C393" s="1025" t="s">
        <v>328</v>
      </c>
      <c r="D393" s="1024">
        <v>0.7</v>
      </c>
      <c r="E393" s="1017">
        <v>5987</v>
      </c>
      <c r="F393" s="1018">
        <v>0.7</v>
      </c>
      <c r="G393" s="1017">
        <v>5987</v>
      </c>
      <c r="H393" s="539"/>
      <c r="I393" s="312"/>
      <c r="J393" s="536"/>
      <c r="K393" s="42"/>
      <c r="L393" s="50"/>
      <c r="M393" s="537"/>
      <c r="N393" s="318"/>
      <c r="O393" s="549"/>
      <c r="P393" s="1008"/>
      <c r="Q393" s="547"/>
      <c r="R393" s="553"/>
      <c r="S393" s="1034"/>
      <c r="T393" s="12"/>
      <c r="U393" s="536"/>
      <c r="V393" s="536"/>
      <c r="W393" s="547"/>
      <c r="X393" s="536"/>
      <c r="Y393" s="537"/>
      <c r="Z393" s="1031"/>
      <c r="AA393" s="1023"/>
      <c r="AB393" s="407"/>
      <c r="AC393" s="407"/>
      <c r="AD393" s="407"/>
      <c r="AE393" s="407"/>
      <c r="AF393" s="12"/>
      <c r="AG393" s="536"/>
      <c r="AH393" s="536" t="s">
        <v>93</v>
      </c>
      <c r="AI393" s="547">
        <v>1</v>
      </c>
      <c r="AJ393" s="536" t="s">
        <v>118</v>
      </c>
      <c r="AK393" s="537">
        <v>50</v>
      </c>
      <c r="AL393" s="12"/>
      <c r="AM393" s="536"/>
      <c r="AN393" s="536"/>
      <c r="AO393" s="547"/>
      <c r="AP393" s="536"/>
      <c r="AQ393" s="538"/>
      <c r="AR393" s="530"/>
    </row>
    <row r="394" spans="1:44" ht="18.75">
      <c r="A394" s="1008"/>
      <c r="B394" s="1008"/>
      <c r="C394" s="1025"/>
      <c r="D394" s="1024"/>
      <c r="E394" s="1017"/>
      <c r="F394" s="1018"/>
      <c r="G394" s="1017"/>
      <c r="H394" s="539"/>
      <c r="I394" s="312"/>
      <c r="J394" s="536"/>
      <c r="K394" s="42"/>
      <c r="L394" s="50"/>
      <c r="M394" s="537"/>
      <c r="N394" s="318"/>
      <c r="O394" s="549"/>
      <c r="P394" s="1008"/>
      <c r="Q394" s="539"/>
      <c r="R394" s="43"/>
      <c r="S394" s="1035"/>
      <c r="T394" s="12"/>
      <c r="U394" s="536"/>
      <c r="V394" s="536"/>
      <c r="W394" s="547"/>
      <c r="X394" s="536"/>
      <c r="Y394" s="537"/>
      <c r="Z394" s="1026"/>
      <c r="AA394" s="1026"/>
      <c r="AB394" s="407"/>
      <c r="AC394" s="407"/>
      <c r="AD394" s="407"/>
      <c r="AE394" s="407"/>
      <c r="AF394" s="12"/>
      <c r="AG394" s="536"/>
      <c r="AH394" s="536"/>
      <c r="AI394" s="547"/>
      <c r="AJ394" s="536"/>
      <c r="AK394" s="538"/>
      <c r="AL394" s="12"/>
      <c r="AM394" s="536"/>
      <c r="AN394" s="536"/>
      <c r="AO394" s="547"/>
      <c r="AP394" s="536"/>
      <c r="AQ394" s="538"/>
      <c r="AR394" s="530"/>
    </row>
    <row r="395" spans="1:44" ht="18.75">
      <c r="A395" s="1008">
        <v>201</v>
      </c>
      <c r="B395" s="1008">
        <v>737468</v>
      </c>
      <c r="C395" s="1025" t="s">
        <v>329</v>
      </c>
      <c r="D395" s="1024">
        <v>4.0369999999999999</v>
      </c>
      <c r="E395" s="1017">
        <v>26915</v>
      </c>
      <c r="F395" s="1018">
        <v>4.0369999999999999</v>
      </c>
      <c r="G395" s="1017">
        <v>26915</v>
      </c>
      <c r="H395" s="1019" t="s">
        <v>60</v>
      </c>
      <c r="I395" s="971" t="s">
        <v>2750</v>
      </c>
      <c r="J395" s="1020" t="s">
        <v>114</v>
      </c>
      <c r="K395" s="558">
        <v>4.04</v>
      </c>
      <c r="L395" s="553" t="s">
        <v>17</v>
      </c>
      <c r="M395" s="1017">
        <v>33442.965880000003</v>
      </c>
      <c r="N395" s="538"/>
      <c r="O395" s="536"/>
      <c r="P395" s="536"/>
      <c r="Q395" s="547"/>
      <c r="R395" s="536"/>
      <c r="S395" s="725"/>
      <c r="T395" s="12"/>
      <c r="U395" s="536"/>
      <c r="V395" s="536"/>
      <c r="W395" s="547"/>
      <c r="X395" s="536"/>
      <c r="Y395" s="537"/>
      <c r="Z395" s="12"/>
      <c r="AA395" s="536"/>
      <c r="AB395" s="536"/>
      <c r="AC395" s="547"/>
      <c r="AD395" s="536"/>
      <c r="AE395" s="537"/>
      <c r="AF395" s="12"/>
      <c r="AG395" s="536"/>
      <c r="AH395" s="536"/>
      <c r="AI395" s="547"/>
      <c r="AJ395" s="536"/>
      <c r="AK395" s="538"/>
      <c r="AL395" s="12"/>
      <c r="AM395" s="536"/>
      <c r="AN395" s="536"/>
      <c r="AO395" s="547"/>
      <c r="AP395" s="536"/>
      <c r="AQ395" s="538"/>
      <c r="AR395" s="530"/>
    </row>
    <row r="396" spans="1:44" ht="18.75">
      <c r="A396" s="1008"/>
      <c r="B396" s="1008"/>
      <c r="C396" s="1025"/>
      <c r="D396" s="1024"/>
      <c r="E396" s="1017"/>
      <c r="F396" s="1018"/>
      <c r="G396" s="1017"/>
      <c r="H396" s="1019"/>
      <c r="I396" s="971"/>
      <c r="J396" s="1020"/>
      <c r="K396" s="51">
        <v>26915</v>
      </c>
      <c r="L396" s="43" t="s">
        <v>32</v>
      </c>
      <c r="M396" s="1017"/>
      <c r="N396" s="538"/>
      <c r="O396" s="536"/>
      <c r="P396" s="536"/>
      <c r="Q396" s="547"/>
      <c r="R396" s="536"/>
      <c r="S396" s="725"/>
      <c r="T396" s="12"/>
      <c r="U396" s="536"/>
      <c r="V396" s="536"/>
      <c r="W396" s="547"/>
      <c r="X396" s="536"/>
      <c r="Y396" s="537"/>
      <c r="Z396" s="12"/>
      <c r="AA396" s="536"/>
      <c r="AB396" s="536"/>
      <c r="AC396" s="547"/>
      <c r="AD396" s="536"/>
      <c r="AE396" s="537"/>
      <c r="AF396" s="12"/>
      <c r="AG396" s="536"/>
      <c r="AH396" s="536"/>
      <c r="AI396" s="547"/>
      <c r="AJ396" s="536"/>
      <c r="AK396" s="538"/>
      <c r="AL396" s="12"/>
      <c r="AM396" s="536"/>
      <c r="AN396" s="536"/>
      <c r="AO396" s="547"/>
      <c r="AP396" s="536"/>
      <c r="AQ396" s="538"/>
      <c r="AR396" s="530"/>
    </row>
    <row r="397" spans="1:44" ht="56.25">
      <c r="A397" s="536">
        <v>202</v>
      </c>
      <c r="B397" s="536">
        <v>739444</v>
      </c>
      <c r="C397" s="546" t="s">
        <v>330</v>
      </c>
      <c r="D397" s="547">
        <v>1.1000000000000001</v>
      </c>
      <c r="E397" s="537">
        <v>6600</v>
      </c>
      <c r="F397" s="548">
        <v>1.1000000000000001</v>
      </c>
      <c r="G397" s="537">
        <v>6600</v>
      </c>
      <c r="H397" s="536"/>
      <c r="I397" s="312"/>
      <c r="J397" s="536"/>
      <c r="K397" s="42"/>
      <c r="L397" s="50"/>
      <c r="M397" s="537"/>
      <c r="N397" s="538"/>
      <c r="O397" s="536"/>
      <c r="P397" s="536"/>
      <c r="Q397" s="547"/>
      <c r="R397" s="536"/>
      <c r="S397" s="725"/>
      <c r="T397" s="12"/>
      <c r="U397" s="536"/>
      <c r="V397" s="536"/>
      <c r="W397" s="547"/>
      <c r="X397" s="536"/>
      <c r="Y397" s="537"/>
      <c r="Z397" s="12"/>
      <c r="AA397" s="536"/>
      <c r="AB397" s="536"/>
      <c r="AC397" s="547"/>
      <c r="AD397" s="536"/>
      <c r="AE397" s="537"/>
      <c r="AF397" s="12"/>
      <c r="AG397" s="536"/>
      <c r="AH397" s="536"/>
      <c r="AI397" s="547"/>
      <c r="AJ397" s="536"/>
      <c r="AK397" s="538"/>
      <c r="AL397" s="12"/>
      <c r="AM397" s="536"/>
      <c r="AN397" s="536" t="s">
        <v>93</v>
      </c>
      <c r="AO397" s="547">
        <v>1</v>
      </c>
      <c r="AP397" s="536" t="s">
        <v>118</v>
      </c>
      <c r="AQ397" s="537">
        <v>50</v>
      </c>
      <c r="AR397" s="530"/>
    </row>
    <row r="398" spans="1:44" ht="75">
      <c r="A398" s="536">
        <v>203</v>
      </c>
      <c r="B398" s="536">
        <v>739444</v>
      </c>
      <c r="C398" s="546" t="s">
        <v>331</v>
      </c>
      <c r="D398" s="547">
        <v>0.52</v>
      </c>
      <c r="E398" s="537">
        <v>3120</v>
      </c>
      <c r="F398" s="548">
        <v>0.52</v>
      </c>
      <c r="G398" s="537">
        <v>3120</v>
      </c>
      <c r="H398" s="536"/>
      <c r="I398" s="312"/>
      <c r="J398" s="536"/>
      <c r="K398" s="42"/>
      <c r="L398" s="50"/>
      <c r="M398" s="537"/>
      <c r="N398" s="538"/>
      <c r="O398" s="536"/>
      <c r="P398" s="536"/>
      <c r="Q398" s="547"/>
      <c r="R398" s="536"/>
      <c r="S398" s="725"/>
      <c r="T398" s="12"/>
      <c r="U398" s="536"/>
      <c r="V398" s="536"/>
      <c r="W398" s="547"/>
      <c r="X398" s="536"/>
      <c r="Y398" s="537"/>
      <c r="Z398" s="12"/>
      <c r="AA398" s="536"/>
      <c r="AB398" s="536" t="s">
        <v>93</v>
      </c>
      <c r="AC398" s="547">
        <v>1</v>
      </c>
      <c r="AD398" s="536" t="s">
        <v>118</v>
      </c>
      <c r="AE398" s="537">
        <v>50</v>
      </c>
      <c r="AF398" s="12"/>
      <c r="AG398" s="536"/>
      <c r="AH398" s="536"/>
      <c r="AI398" s="547"/>
      <c r="AJ398" s="536"/>
      <c r="AK398" s="538"/>
      <c r="AL398" s="12"/>
      <c r="AM398" s="536"/>
      <c r="AN398" s="536"/>
      <c r="AO398" s="547"/>
      <c r="AP398" s="536"/>
      <c r="AQ398" s="538"/>
      <c r="AR398" s="530"/>
    </row>
    <row r="399" spans="1:44" ht="18.75">
      <c r="A399" s="1008">
        <v>204</v>
      </c>
      <c r="B399" s="1008">
        <v>742737</v>
      </c>
      <c r="C399" s="1025" t="s">
        <v>332</v>
      </c>
      <c r="D399" s="1024">
        <v>7.04</v>
      </c>
      <c r="E399" s="1017">
        <v>57748</v>
      </c>
      <c r="F399" s="1018">
        <v>7.04</v>
      </c>
      <c r="G399" s="1017">
        <v>57748</v>
      </c>
      <c r="H399" s="312"/>
      <c r="I399" s="539"/>
      <c r="J399" s="1008"/>
      <c r="K399" s="42"/>
      <c r="L399" s="553"/>
      <c r="M399" s="1017"/>
      <c r="N399" s="322"/>
      <c r="O399" s="317"/>
      <c r="P399" s="1055"/>
      <c r="Q399" s="63"/>
      <c r="R399" s="64"/>
      <c r="S399" s="1053"/>
      <c r="T399" s="12"/>
      <c r="U399" s="536"/>
      <c r="V399" s="536"/>
      <c r="W399" s="547"/>
      <c r="X399" s="536"/>
      <c r="Y399" s="537"/>
      <c r="Z399" s="1032" t="s">
        <v>60</v>
      </c>
      <c r="AA399" s="1032" t="s">
        <v>1295</v>
      </c>
      <c r="AB399" s="1020" t="s">
        <v>114</v>
      </c>
      <c r="AC399" s="547">
        <f>IF(E393="","",D393/E393*AC400)</f>
        <v>0.7</v>
      </c>
      <c r="AD399" s="553" t="s">
        <v>17</v>
      </c>
      <c r="AE399" s="1050">
        <v>7000</v>
      </c>
      <c r="AF399" s="12"/>
      <c r="AG399" s="536"/>
      <c r="AH399" s="536"/>
      <c r="AI399" s="547"/>
      <c r="AJ399" s="536"/>
      <c r="AK399" s="538"/>
      <c r="AL399" s="12"/>
      <c r="AM399" s="536"/>
      <c r="AN399" s="536"/>
      <c r="AO399" s="547"/>
      <c r="AP399" s="536"/>
      <c r="AQ399" s="538"/>
      <c r="AR399" s="530"/>
    </row>
    <row r="400" spans="1:44" ht="18.75">
      <c r="A400" s="1008"/>
      <c r="B400" s="1008"/>
      <c r="C400" s="1025"/>
      <c r="D400" s="1024"/>
      <c r="E400" s="1017"/>
      <c r="F400" s="1018"/>
      <c r="G400" s="1017"/>
      <c r="H400" s="312"/>
      <c r="I400" s="539"/>
      <c r="J400" s="1008"/>
      <c r="K400" s="51"/>
      <c r="L400" s="43"/>
      <c r="M400" s="1017"/>
      <c r="N400" s="322"/>
      <c r="O400" s="317"/>
      <c r="P400" s="1055"/>
      <c r="Q400" s="65"/>
      <c r="R400" s="66"/>
      <c r="S400" s="1054"/>
      <c r="T400" s="12"/>
      <c r="U400" s="536"/>
      <c r="V400" s="536"/>
      <c r="W400" s="547"/>
      <c r="X400" s="536"/>
      <c r="Y400" s="537"/>
      <c r="Z400" s="1032"/>
      <c r="AA400" s="1032"/>
      <c r="AB400" s="1020"/>
      <c r="AC400" s="536">
        <v>5987</v>
      </c>
      <c r="AD400" s="43" t="s">
        <v>32</v>
      </c>
      <c r="AE400" s="1050"/>
      <c r="AF400" s="12"/>
      <c r="AG400" s="536"/>
      <c r="AH400" s="536"/>
      <c r="AI400" s="547"/>
      <c r="AJ400" s="536"/>
      <c r="AK400" s="538"/>
      <c r="AL400" s="12"/>
      <c r="AM400" s="536"/>
      <c r="AN400" s="536"/>
      <c r="AO400" s="547"/>
      <c r="AP400" s="536"/>
      <c r="AQ400" s="538"/>
      <c r="AR400" s="530"/>
    </row>
    <row r="401" spans="1:44" ht="56.25">
      <c r="A401" s="1008">
        <v>205</v>
      </c>
      <c r="B401" s="1008">
        <v>735817</v>
      </c>
      <c r="C401" s="1025" t="s">
        <v>333</v>
      </c>
      <c r="D401" s="1024">
        <v>1.44</v>
      </c>
      <c r="E401" s="1017">
        <v>9799</v>
      </c>
      <c r="F401" s="1018">
        <v>1.44</v>
      </c>
      <c r="G401" s="1017">
        <v>9799</v>
      </c>
      <c r="H401" s="539"/>
      <c r="I401" s="312"/>
      <c r="J401" s="536"/>
      <c r="K401" s="42"/>
      <c r="L401" s="50"/>
      <c r="M401" s="537"/>
      <c r="N401" s="318"/>
      <c r="O401" s="549"/>
      <c r="P401" s="1008"/>
      <c r="Q401" s="547"/>
      <c r="R401" s="553"/>
      <c r="S401" s="1034"/>
      <c r="T401" s="12"/>
      <c r="U401" s="536"/>
      <c r="V401" s="536"/>
      <c r="W401" s="547"/>
      <c r="X401" s="536"/>
      <c r="Y401" s="537"/>
      <c r="Z401" s="12"/>
      <c r="AA401" s="536"/>
      <c r="AB401" s="536" t="s">
        <v>93</v>
      </c>
      <c r="AC401" s="547">
        <v>1</v>
      </c>
      <c r="AD401" s="536" t="s">
        <v>118</v>
      </c>
      <c r="AE401" s="537">
        <v>50</v>
      </c>
      <c r="AF401" s="12"/>
      <c r="AG401" s="536"/>
      <c r="AH401" s="536"/>
      <c r="AI401" s="547"/>
      <c r="AJ401" s="536"/>
      <c r="AK401" s="538"/>
      <c r="AL401" s="12"/>
      <c r="AM401" s="536"/>
      <c r="AN401" s="536"/>
      <c r="AO401" s="547"/>
      <c r="AP401" s="536"/>
      <c r="AQ401" s="538"/>
      <c r="AR401" s="530"/>
    </row>
    <row r="402" spans="1:44" ht="18.75">
      <c r="A402" s="1008"/>
      <c r="B402" s="1008"/>
      <c r="C402" s="1025"/>
      <c r="D402" s="1024"/>
      <c r="E402" s="1017"/>
      <c r="F402" s="1018"/>
      <c r="G402" s="1017"/>
      <c r="H402" s="539"/>
      <c r="I402" s="312"/>
      <c r="J402" s="536"/>
      <c r="K402" s="42"/>
      <c r="L402" s="50"/>
      <c r="M402" s="537"/>
      <c r="N402" s="318"/>
      <c r="O402" s="549"/>
      <c r="P402" s="1008"/>
      <c r="Q402" s="539"/>
      <c r="R402" s="43"/>
      <c r="S402" s="1035"/>
      <c r="T402" s="12"/>
      <c r="U402" s="536"/>
      <c r="V402" s="536"/>
      <c r="W402" s="547"/>
      <c r="X402" s="536"/>
      <c r="Y402" s="537"/>
      <c r="Z402" s="12"/>
      <c r="AA402" s="536"/>
      <c r="AB402" s="536"/>
      <c r="AC402" s="547"/>
      <c r="AD402" s="536"/>
      <c r="AE402" s="537"/>
      <c r="AF402" s="12"/>
      <c r="AG402" s="536"/>
      <c r="AH402" s="536"/>
      <c r="AI402" s="547"/>
      <c r="AJ402" s="536"/>
      <c r="AK402" s="538"/>
      <c r="AL402" s="12"/>
      <c r="AM402" s="536"/>
      <c r="AN402" s="536"/>
      <c r="AO402" s="547"/>
      <c r="AP402" s="536"/>
      <c r="AQ402" s="538"/>
      <c r="AR402" s="530"/>
    </row>
    <row r="403" spans="1:44" ht="69" customHeight="1">
      <c r="A403" s="1008">
        <v>206</v>
      </c>
      <c r="B403" s="1008">
        <v>737844</v>
      </c>
      <c r="C403" s="1025" t="s">
        <v>2837</v>
      </c>
      <c r="D403" s="1024">
        <v>1.34</v>
      </c>
      <c r="E403" s="1017">
        <v>12329</v>
      </c>
      <c r="F403" s="1018">
        <v>1.34</v>
      </c>
      <c r="G403" s="1017">
        <v>12329</v>
      </c>
      <c r="H403" s="1019" t="s">
        <v>2751</v>
      </c>
      <c r="I403" s="1019" t="s">
        <v>2752</v>
      </c>
      <c r="J403" s="1020" t="s">
        <v>114</v>
      </c>
      <c r="K403" s="558">
        <v>0.36</v>
      </c>
      <c r="L403" s="553" t="s">
        <v>17</v>
      </c>
      <c r="M403" s="1017">
        <v>3897.1213200000002</v>
      </c>
      <c r="N403" s="903" t="s">
        <v>60</v>
      </c>
      <c r="O403" s="903" t="s">
        <v>2752</v>
      </c>
      <c r="P403" s="1020" t="s">
        <v>114</v>
      </c>
      <c r="Q403" s="547">
        <v>0.83099999999999996</v>
      </c>
      <c r="R403" s="553" t="s">
        <v>17</v>
      </c>
      <c r="S403" s="1034">
        <v>9732.44</v>
      </c>
      <c r="T403" s="12"/>
      <c r="U403" s="536"/>
      <c r="V403" s="536"/>
      <c r="W403" s="547"/>
      <c r="X403" s="536"/>
      <c r="Y403" s="537"/>
      <c r="Z403" s="12"/>
      <c r="AA403" s="536"/>
      <c r="AB403" s="536"/>
      <c r="AC403" s="547"/>
      <c r="AD403" s="536"/>
      <c r="AE403" s="537"/>
      <c r="AF403" s="12"/>
      <c r="AG403" s="536"/>
      <c r="AH403" s="536"/>
      <c r="AI403" s="547"/>
      <c r="AJ403" s="536"/>
      <c r="AK403" s="538"/>
      <c r="AL403" s="12"/>
      <c r="AM403" s="536"/>
      <c r="AN403" s="536"/>
      <c r="AO403" s="547"/>
      <c r="AP403" s="536"/>
      <c r="AQ403" s="538"/>
      <c r="AR403" s="530"/>
    </row>
    <row r="404" spans="1:44" ht="69" customHeight="1">
      <c r="A404" s="1008"/>
      <c r="B404" s="1008"/>
      <c r="C404" s="1025"/>
      <c r="D404" s="1024"/>
      <c r="E404" s="1017"/>
      <c r="F404" s="1018"/>
      <c r="G404" s="1017"/>
      <c r="H404" s="1019"/>
      <c r="I404" s="1019"/>
      <c r="J404" s="1020"/>
      <c r="K404" s="51">
        <v>3349</v>
      </c>
      <c r="L404" s="43" t="s">
        <v>32</v>
      </c>
      <c r="M404" s="1017"/>
      <c r="N404" s="903"/>
      <c r="O404" s="903"/>
      <c r="P404" s="1020"/>
      <c r="Q404" s="539">
        <v>7645</v>
      </c>
      <c r="R404" s="43" t="s">
        <v>32</v>
      </c>
      <c r="S404" s="1035"/>
      <c r="T404" s="12"/>
      <c r="U404" s="536"/>
      <c r="V404" s="536"/>
      <c r="W404" s="547"/>
      <c r="X404" s="536"/>
      <c r="Y404" s="537"/>
      <c r="Z404" s="12"/>
      <c r="AA404" s="536"/>
      <c r="AB404" s="536"/>
      <c r="AC404" s="547"/>
      <c r="AD404" s="536"/>
      <c r="AE404" s="537"/>
      <c r="AF404" s="12"/>
      <c r="AG404" s="536"/>
      <c r="AH404" s="536"/>
      <c r="AI404" s="547"/>
      <c r="AJ404" s="536"/>
      <c r="AK404" s="538"/>
      <c r="AL404" s="12"/>
      <c r="AM404" s="536"/>
      <c r="AN404" s="536"/>
      <c r="AO404" s="547"/>
      <c r="AP404" s="536"/>
      <c r="AQ404" s="538"/>
      <c r="AR404" s="530"/>
    </row>
    <row r="405" spans="1:44" ht="56.25">
      <c r="A405" s="1008">
        <v>207</v>
      </c>
      <c r="B405" s="1008">
        <v>745188</v>
      </c>
      <c r="C405" s="1025" t="s">
        <v>335</v>
      </c>
      <c r="D405" s="1024">
        <v>1.24</v>
      </c>
      <c r="E405" s="1017">
        <v>7831</v>
      </c>
      <c r="F405" s="1018">
        <v>1.24</v>
      </c>
      <c r="G405" s="1017">
        <v>7831</v>
      </c>
      <c r="H405" s="539"/>
      <c r="I405" s="312"/>
      <c r="J405" s="536"/>
      <c r="K405" s="42"/>
      <c r="L405" s="50"/>
      <c r="M405" s="537"/>
      <c r="N405" s="318"/>
      <c r="O405" s="549"/>
      <c r="P405" s="1008"/>
      <c r="Q405" s="547"/>
      <c r="R405" s="553"/>
      <c r="S405" s="1034"/>
      <c r="T405" s="12"/>
      <c r="U405" s="536"/>
      <c r="V405" s="536"/>
      <c r="W405" s="547"/>
      <c r="X405" s="536"/>
      <c r="Y405" s="537"/>
      <c r="Z405" s="12"/>
      <c r="AA405" s="536"/>
      <c r="AB405" s="536" t="s">
        <v>93</v>
      </c>
      <c r="AC405" s="547">
        <v>1</v>
      </c>
      <c r="AD405" s="536" t="s">
        <v>118</v>
      </c>
      <c r="AE405" s="537">
        <v>50</v>
      </c>
      <c r="AF405" s="12"/>
      <c r="AG405" s="536"/>
      <c r="AH405" s="536"/>
      <c r="AI405" s="547"/>
      <c r="AJ405" s="536"/>
      <c r="AK405" s="538"/>
      <c r="AL405" s="12"/>
      <c r="AM405" s="536"/>
      <c r="AN405" s="536"/>
      <c r="AO405" s="547"/>
      <c r="AP405" s="536"/>
      <c r="AQ405" s="538"/>
      <c r="AR405" s="530"/>
    </row>
    <row r="406" spans="1:44" ht="18.75">
      <c r="A406" s="1008"/>
      <c r="B406" s="1008"/>
      <c r="C406" s="1025"/>
      <c r="D406" s="1024"/>
      <c r="E406" s="1017"/>
      <c r="F406" s="1018"/>
      <c r="G406" s="1017"/>
      <c r="H406" s="539"/>
      <c r="I406" s="312"/>
      <c r="J406" s="536"/>
      <c r="K406" s="42"/>
      <c r="L406" s="50"/>
      <c r="M406" s="537"/>
      <c r="N406" s="318"/>
      <c r="O406" s="549"/>
      <c r="P406" s="1008"/>
      <c r="Q406" s="539"/>
      <c r="R406" s="43"/>
      <c r="S406" s="1035"/>
      <c r="T406" s="12"/>
      <c r="U406" s="536"/>
      <c r="V406" s="536"/>
      <c r="W406" s="547"/>
      <c r="X406" s="536"/>
      <c r="Y406" s="537"/>
      <c r="Z406" s="12"/>
      <c r="AA406" s="536"/>
      <c r="AB406" s="536"/>
      <c r="AC406" s="547"/>
      <c r="AD406" s="536"/>
      <c r="AE406" s="537"/>
      <c r="AF406" s="12"/>
      <c r="AG406" s="536"/>
      <c r="AH406" s="536"/>
      <c r="AI406" s="547"/>
      <c r="AJ406" s="536"/>
      <c r="AK406" s="538"/>
      <c r="AL406" s="12"/>
      <c r="AM406" s="536"/>
      <c r="AN406" s="536"/>
      <c r="AO406" s="547"/>
      <c r="AP406" s="536"/>
      <c r="AQ406" s="538"/>
      <c r="AR406" s="530"/>
    </row>
    <row r="407" spans="1:44" ht="18.75">
      <c r="A407" s="1008">
        <v>208</v>
      </c>
      <c r="B407" s="1008">
        <v>742595</v>
      </c>
      <c r="C407" s="1025" t="s">
        <v>336</v>
      </c>
      <c r="D407" s="1024">
        <v>0.5</v>
      </c>
      <c r="E407" s="1017">
        <v>5698</v>
      </c>
      <c r="F407" s="1018">
        <v>0.5</v>
      </c>
      <c r="G407" s="1017">
        <v>5698</v>
      </c>
      <c r="H407" s="1019" t="s">
        <v>60</v>
      </c>
      <c r="I407" s="971" t="s">
        <v>2726</v>
      </c>
      <c r="J407" s="1020" t="s">
        <v>114</v>
      </c>
      <c r="K407" s="558">
        <v>0.5</v>
      </c>
      <c r="L407" s="553" t="s">
        <v>17</v>
      </c>
      <c r="M407" s="1017">
        <v>6171.0439800000004</v>
      </c>
      <c r="N407" s="318"/>
      <c r="O407" s="549"/>
      <c r="P407" s="1008"/>
      <c r="Q407" s="547"/>
      <c r="R407" s="553"/>
      <c r="S407" s="1034"/>
      <c r="T407" s="12"/>
      <c r="U407" s="536"/>
      <c r="V407" s="536"/>
      <c r="W407" s="547"/>
      <c r="X407" s="536"/>
      <c r="Y407" s="537"/>
      <c r="Z407" s="12"/>
      <c r="AA407" s="536"/>
      <c r="AB407" s="536"/>
      <c r="AC407" s="547"/>
      <c r="AD407" s="536"/>
      <c r="AE407" s="537"/>
      <c r="AF407" s="12"/>
      <c r="AG407" s="536"/>
      <c r="AH407" s="536"/>
      <c r="AI407" s="547"/>
      <c r="AJ407" s="536"/>
      <c r="AK407" s="538"/>
      <c r="AL407" s="12"/>
      <c r="AM407" s="536"/>
      <c r="AN407" s="536"/>
      <c r="AO407" s="547"/>
      <c r="AP407" s="536"/>
      <c r="AQ407" s="538"/>
      <c r="AR407" s="530"/>
    </row>
    <row r="408" spans="1:44" ht="18.75">
      <c r="A408" s="1008"/>
      <c r="B408" s="1008"/>
      <c r="C408" s="1025"/>
      <c r="D408" s="1024"/>
      <c r="E408" s="1017"/>
      <c r="F408" s="1018"/>
      <c r="G408" s="1017"/>
      <c r="H408" s="1019"/>
      <c r="I408" s="971"/>
      <c r="J408" s="1020"/>
      <c r="K408" s="51">
        <v>5232</v>
      </c>
      <c r="L408" s="43" t="s">
        <v>32</v>
      </c>
      <c r="M408" s="1017"/>
      <c r="N408" s="318"/>
      <c r="O408" s="549"/>
      <c r="P408" s="1008"/>
      <c r="Q408" s="539"/>
      <c r="R408" s="43"/>
      <c r="S408" s="1035"/>
      <c r="T408" s="12"/>
      <c r="U408" s="536"/>
      <c r="V408" s="536"/>
      <c r="W408" s="547"/>
      <c r="X408" s="536"/>
      <c r="Y408" s="537"/>
      <c r="Z408" s="12"/>
      <c r="AA408" s="536"/>
      <c r="AB408" s="536"/>
      <c r="AC408" s="547"/>
      <c r="AD408" s="536"/>
      <c r="AE408" s="537"/>
      <c r="AF408" s="12"/>
      <c r="AG408" s="536"/>
      <c r="AH408" s="536"/>
      <c r="AI408" s="547"/>
      <c r="AJ408" s="536"/>
      <c r="AK408" s="538"/>
      <c r="AL408" s="12"/>
      <c r="AM408" s="536"/>
      <c r="AN408" s="536"/>
      <c r="AO408" s="547"/>
      <c r="AP408" s="536"/>
      <c r="AQ408" s="538"/>
      <c r="AR408" s="530"/>
    </row>
    <row r="409" spans="1:44" ht="18.75">
      <c r="A409" s="1008">
        <v>209</v>
      </c>
      <c r="B409" s="1008">
        <v>736132</v>
      </c>
      <c r="C409" s="1025" t="s">
        <v>337</v>
      </c>
      <c r="D409" s="1024">
        <v>0.26</v>
      </c>
      <c r="E409" s="1017">
        <f>G409/F409*D409</f>
        <v>2037.159090909091</v>
      </c>
      <c r="F409" s="1018">
        <v>0.26</v>
      </c>
      <c r="G409" s="1017">
        <v>2037.159090909091</v>
      </c>
      <c r="H409" s="1019" t="s">
        <v>60</v>
      </c>
      <c r="I409" s="971" t="s">
        <v>2753</v>
      </c>
      <c r="J409" s="1020" t="s">
        <v>114</v>
      </c>
      <c r="K409" s="558">
        <v>0.26</v>
      </c>
      <c r="L409" s="553" t="s">
        <v>17</v>
      </c>
      <c r="M409" s="1017">
        <v>3762.4105199999999</v>
      </c>
      <c r="N409" s="538"/>
      <c r="O409" s="536"/>
      <c r="P409" s="536"/>
      <c r="Q409" s="547"/>
      <c r="R409" s="536"/>
      <c r="S409" s="725"/>
      <c r="T409" s="12"/>
      <c r="U409" s="536"/>
      <c r="V409" s="536"/>
      <c r="W409" s="547"/>
      <c r="X409" s="536"/>
      <c r="Y409" s="537"/>
      <c r="Z409" s="12"/>
      <c r="AA409" s="536"/>
      <c r="AB409" s="536"/>
      <c r="AC409" s="547"/>
      <c r="AD409" s="536"/>
      <c r="AE409" s="537"/>
      <c r="AF409" s="12"/>
      <c r="AG409" s="536"/>
      <c r="AH409" s="536"/>
      <c r="AI409" s="547"/>
      <c r="AJ409" s="536"/>
      <c r="AK409" s="538"/>
      <c r="AL409" s="12"/>
      <c r="AM409" s="536"/>
      <c r="AN409" s="536"/>
      <c r="AO409" s="547"/>
      <c r="AP409" s="536"/>
      <c r="AQ409" s="538"/>
      <c r="AR409" s="530"/>
    </row>
    <row r="410" spans="1:44" ht="18.75">
      <c r="A410" s="1008"/>
      <c r="B410" s="1008"/>
      <c r="C410" s="1025"/>
      <c r="D410" s="1024"/>
      <c r="E410" s="1017"/>
      <c r="F410" s="1018"/>
      <c r="G410" s="1017"/>
      <c r="H410" s="1019"/>
      <c r="I410" s="971"/>
      <c r="J410" s="1020"/>
      <c r="K410" s="51">
        <v>3082</v>
      </c>
      <c r="L410" s="43" t="s">
        <v>32</v>
      </c>
      <c r="M410" s="1017"/>
      <c r="N410" s="538"/>
      <c r="O410" s="536"/>
      <c r="P410" s="536"/>
      <c r="Q410" s="547"/>
      <c r="R410" s="536"/>
      <c r="S410" s="725"/>
      <c r="T410" s="12"/>
      <c r="U410" s="536"/>
      <c r="V410" s="536"/>
      <c r="W410" s="547"/>
      <c r="X410" s="536"/>
      <c r="Y410" s="537"/>
      <c r="Z410" s="12"/>
      <c r="AA410" s="536"/>
      <c r="AB410" s="536"/>
      <c r="AC410" s="547"/>
      <c r="AD410" s="536"/>
      <c r="AE410" s="537"/>
      <c r="AF410" s="12"/>
      <c r="AG410" s="536"/>
      <c r="AH410" s="536"/>
      <c r="AI410" s="547"/>
      <c r="AJ410" s="536"/>
      <c r="AK410" s="538"/>
      <c r="AL410" s="12"/>
      <c r="AM410" s="536"/>
      <c r="AN410" s="536"/>
      <c r="AO410" s="547"/>
      <c r="AP410" s="536"/>
      <c r="AQ410" s="538"/>
      <c r="AR410" s="530"/>
    </row>
    <row r="411" spans="1:44" ht="56.25">
      <c r="A411" s="1008">
        <v>210</v>
      </c>
      <c r="B411" s="1008">
        <v>739009</v>
      </c>
      <c r="C411" s="1025" t="s">
        <v>338</v>
      </c>
      <c r="D411" s="1024">
        <v>0.7</v>
      </c>
      <c r="E411" s="1017">
        <v>5562</v>
      </c>
      <c r="F411" s="1018">
        <v>0.7</v>
      </c>
      <c r="G411" s="1017">
        <v>5562</v>
      </c>
      <c r="H411" s="539"/>
      <c r="I411" s="312"/>
      <c r="J411" s="536"/>
      <c r="K411" s="42"/>
      <c r="L411" s="50"/>
      <c r="M411" s="537"/>
      <c r="N411" s="318"/>
      <c r="O411" s="549"/>
      <c r="P411" s="1008"/>
      <c r="Q411" s="547"/>
      <c r="R411" s="553"/>
      <c r="S411" s="1034"/>
      <c r="T411" s="12"/>
      <c r="U411" s="536"/>
      <c r="V411" s="536"/>
      <c r="W411" s="547"/>
      <c r="X411" s="536"/>
      <c r="Y411" s="537"/>
      <c r="Z411" s="12"/>
      <c r="AA411" s="536"/>
      <c r="AB411" s="536"/>
      <c r="AC411" s="547"/>
      <c r="AD411" s="536"/>
      <c r="AE411" s="537"/>
      <c r="AF411" s="12"/>
      <c r="AG411" s="536"/>
      <c r="AH411" s="536" t="s">
        <v>93</v>
      </c>
      <c r="AI411" s="547">
        <v>1</v>
      </c>
      <c r="AJ411" s="536" t="s">
        <v>118</v>
      </c>
      <c r="AK411" s="537">
        <v>50</v>
      </c>
      <c r="AL411" s="12"/>
      <c r="AM411" s="536"/>
      <c r="AN411" s="536"/>
      <c r="AO411" s="547"/>
      <c r="AP411" s="536"/>
      <c r="AQ411" s="538"/>
      <c r="AR411" s="530"/>
    </row>
    <row r="412" spans="1:44" ht="18.75">
      <c r="A412" s="1008"/>
      <c r="B412" s="1008"/>
      <c r="C412" s="1025"/>
      <c r="D412" s="1024"/>
      <c r="E412" s="1017"/>
      <c r="F412" s="1018"/>
      <c r="G412" s="1017"/>
      <c r="H412" s="539"/>
      <c r="I412" s="312"/>
      <c r="J412" s="536"/>
      <c r="K412" s="42"/>
      <c r="L412" s="50"/>
      <c r="M412" s="537"/>
      <c r="N412" s="318"/>
      <c r="O412" s="549"/>
      <c r="P412" s="1008"/>
      <c r="Q412" s="539"/>
      <c r="R412" s="43"/>
      <c r="S412" s="1035"/>
      <c r="T412" s="12"/>
      <c r="U412" s="536"/>
      <c r="V412" s="536"/>
      <c r="W412" s="547"/>
      <c r="X412" s="536"/>
      <c r="Y412" s="537"/>
      <c r="Z412" s="12"/>
      <c r="AA412" s="536"/>
      <c r="AB412" s="536"/>
      <c r="AC412" s="547"/>
      <c r="AD412" s="536"/>
      <c r="AE412" s="537"/>
      <c r="AF412" s="12"/>
      <c r="AG412" s="536"/>
      <c r="AH412" s="536"/>
      <c r="AI412" s="547"/>
      <c r="AJ412" s="536"/>
      <c r="AK412" s="538"/>
      <c r="AL412" s="12"/>
      <c r="AM412" s="536"/>
      <c r="AN412" s="536"/>
      <c r="AO412" s="547"/>
      <c r="AP412" s="536"/>
      <c r="AQ412" s="538"/>
      <c r="AR412" s="530"/>
    </row>
    <row r="413" spans="1:44" ht="18.75">
      <c r="A413" s="1008">
        <v>211</v>
      </c>
      <c r="B413" s="1008">
        <v>743049</v>
      </c>
      <c r="C413" s="1025" t="s">
        <v>339</v>
      </c>
      <c r="D413" s="1024">
        <v>0.43099999999999999</v>
      </c>
      <c r="E413" s="1017">
        <v>4877</v>
      </c>
      <c r="F413" s="1018">
        <v>0.43099999999999999</v>
      </c>
      <c r="G413" s="1017">
        <v>4877</v>
      </c>
      <c r="H413" s="1019" t="s">
        <v>60</v>
      </c>
      <c r="I413" s="971" t="s">
        <v>2713</v>
      </c>
      <c r="J413" s="1020" t="s">
        <v>114</v>
      </c>
      <c r="K413" s="558">
        <v>0.4</v>
      </c>
      <c r="L413" s="553" t="s">
        <v>17</v>
      </c>
      <c r="M413" s="1017">
        <v>4727.9965199999997</v>
      </c>
      <c r="N413" s="538"/>
      <c r="O413" s="536"/>
      <c r="P413" s="536"/>
      <c r="Q413" s="547"/>
      <c r="R413" s="536"/>
      <c r="S413" s="725"/>
      <c r="T413" s="12"/>
      <c r="U413" s="536"/>
      <c r="V413" s="536"/>
      <c r="W413" s="547"/>
      <c r="X413" s="536"/>
      <c r="Y413" s="537"/>
      <c r="Z413" s="12"/>
      <c r="AA413" s="536"/>
      <c r="AB413" s="536"/>
      <c r="AC413" s="547"/>
      <c r="AD413" s="536"/>
      <c r="AE413" s="537"/>
      <c r="AF413" s="12"/>
      <c r="AG413" s="536"/>
      <c r="AH413" s="536"/>
      <c r="AI413" s="547"/>
      <c r="AJ413" s="536"/>
      <c r="AK413" s="538"/>
      <c r="AL413" s="12"/>
      <c r="AM413" s="536"/>
      <c r="AN413" s="536"/>
      <c r="AO413" s="547"/>
      <c r="AP413" s="536"/>
      <c r="AQ413" s="538"/>
      <c r="AR413" s="530"/>
    </row>
    <row r="414" spans="1:44" ht="18.75">
      <c r="A414" s="1008"/>
      <c r="B414" s="1008"/>
      <c r="C414" s="1025"/>
      <c r="D414" s="1024"/>
      <c r="E414" s="1017"/>
      <c r="F414" s="1018"/>
      <c r="G414" s="1017"/>
      <c r="H414" s="1019"/>
      <c r="I414" s="971"/>
      <c r="J414" s="1020"/>
      <c r="K414" s="51">
        <v>3837</v>
      </c>
      <c r="L414" s="43" t="s">
        <v>32</v>
      </c>
      <c r="M414" s="1017"/>
      <c r="N414" s="538"/>
      <c r="O414" s="536"/>
      <c r="P414" s="536"/>
      <c r="Q414" s="547"/>
      <c r="R414" s="536"/>
      <c r="S414" s="725"/>
      <c r="T414" s="12"/>
      <c r="U414" s="536"/>
      <c r="V414" s="536"/>
      <c r="W414" s="547"/>
      <c r="X414" s="536"/>
      <c r="Y414" s="537"/>
      <c r="Z414" s="12"/>
      <c r="AA414" s="536"/>
      <c r="AB414" s="536"/>
      <c r="AC414" s="547"/>
      <c r="AD414" s="536"/>
      <c r="AE414" s="537"/>
      <c r="AF414" s="12"/>
      <c r="AG414" s="536"/>
      <c r="AH414" s="536"/>
      <c r="AI414" s="547"/>
      <c r="AJ414" s="536"/>
      <c r="AK414" s="538"/>
      <c r="AL414" s="12"/>
      <c r="AM414" s="536"/>
      <c r="AN414" s="536"/>
      <c r="AO414" s="547"/>
      <c r="AP414" s="536"/>
      <c r="AQ414" s="538"/>
      <c r="AR414" s="530"/>
    </row>
    <row r="415" spans="1:44" ht="18.75">
      <c r="A415" s="536">
        <v>212</v>
      </c>
      <c r="B415" s="536">
        <v>740097</v>
      </c>
      <c r="C415" s="546" t="s">
        <v>340</v>
      </c>
      <c r="D415" s="547">
        <v>0.16</v>
      </c>
      <c r="E415" s="537">
        <v>2306</v>
      </c>
      <c r="F415" s="548">
        <v>0.16</v>
      </c>
      <c r="G415" s="537">
        <v>2306</v>
      </c>
      <c r="H415" s="539"/>
      <c r="I415" s="312"/>
      <c r="J415" s="536"/>
      <c r="K415" s="42"/>
      <c r="L415" s="50"/>
      <c r="M415" s="537"/>
      <c r="N415" s="538"/>
      <c r="O415" s="536"/>
      <c r="P415" s="536"/>
      <c r="Q415" s="547"/>
      <c r="R415" s="536"/>
      <c r="S415" s="725"/>
      <c r="T415" s="12"/>
      <c r="U415" s="536"/>
      <c r="V415" s="536"/>
      <c r="W415" s="547"/>
      <c r="X415" s="536"/>
      <c r="Y415" s="537"/>
      <c r="Z415" s="12"/>
      <c r="AA415" s="536"/>
      <c r="AB415" s="536"/>
      <c r="AC415" s="547"/>
      <c r="AD415" s="536"/>
      <c r="AE415" s="537"/>
      <c r="AF415" s="12"/>
      <c r="AG415" s="536"/>
      <c r="AH415" s="536"/>
      <c r="AI415" s="547"/>
      <c r="AJ415" s="536"/>
      <c r="AK415" s="538"/>
      <c r="AL415" s="12"/>
      <c r="AM415" s="536"/>
      <c r="AN415" s="536"/>
      <c r="AO415" s="547"/>
      <c r="AP415" s="536"/>
      <c r="AQ415" s="538"/>
      <c r="AR415" s="530"/>
    </row>
    <row r="416" spans="1:44" ht="18.75">
      <c r="A416" s="1008">
        <v>213</v>
      </c>
      <c r="B416" s="1008">
        <v>738671</v>
      </c>
      <c r="C416" s="1025" t="s">
        <v>341</v>
      </c>
      <c r="D416" s="1024">
        <v>0.99</v>
      </c>
      <c r="E416" s="1017">
        <v>5365</v>
      </c>
      <c r="F416" s="1018">
        <v>0.99</v>
      </c>
      <c r="G416" s="1017">
        <v>5365</v>
      </c>
      <c r="H416" s="1019" t="s">
        <v>2754</v>
      </c>
      <c r="I416" s="1019" t="s">
        <v>2755</v>
      </c>
      <c r="J416" s="1020" t="s">
        <v>114</v>
      </c>
      <c r="K416" s="558">
        <v>0.74</v>
      </c>
      <c r="L416" s="553" t="s">
        <v>17</v>
      </c>
      <c r="M416" s="1017">
        <v>5772.6433200000001</v>
      </c>
      <c r="N416" s="538"/>
      <c r="O416" s="536"/>
      <c r="P416" s="536"/>
      <c r="Q416" s="547"/>
      <c r="R416" s="536"/>
      <c r="S416" s="725"/>
      <c r="T416" s="12"/>
      <c r="U416" s="536"/>
      <c r="V416" s="536"/>
      <c r="W416" s="547"/>
      <c r="X416" s="536"/>
      <c r="Y416" s="537"/>
      <c r="Z416" s="12"/>
      <c r="AA416" s="536"/>
      <c r="AB416" s="536"/>
      <c r="AC416" s="547"/>
      <c r="AD416" s="536"/>
      <c r="AE416" s="537"/>
      <c r="AF416" s="12"/>
      <c r="AG416" s="536"/>
      <c r="AH416" s="536"/>
      <c r="AI416" s="547"/>
      <c r="AJ416" s="536"/>
      <c r="AK416" s="538"/>
      <c r="AL416" s="12"/>
      <c r="AM416" s="536"/>
      <c r="AN416" s="536"/>
      <c r="AO416" s="547"/>
      <c r="AP416" s="536"/>
      <c r="AQ416" s="538"/>
      <c r="AR416" s="530"/>
    </row>
    <row r="417" spans="1:44" ht="44.25" customHeight="1">
      <c r="A417" s="1008"/>
      <c r="B417" s="1008"/>
      <c r="C417" s="1025"/>
      <c r="D417" s="1024"/>
      <c r="E417" s="1017"/>
      <c r="F417" s="1018"/>
      <c r="G417" s="1017"/>
      <c r="H417" s="1019"/>
      <c r="I417" s="1019"/>
      <c r="J417" s="1020"/>
      <c r="K417" s="51">
        <v>3832</v>
      </c>
      <c r="L417" s="43" t="s">
        <v>32</v>
      </c>
      <c r="M417" s="1017"/>
      <c r="N417" s="538"/>
      <c r="O417" s="536"/>
      <c r="P417" s="536"/>
      <c r="Q417" s="547"/>
      <c r="R417" s="536"/>
      <c r="S417" s="725"/>
      <c r="T417" s="12"/>
      <c r="U417" s="536"/>
      <c r="V417" s="536"/>
      <c r="W417" s="547"/>
      <c r="X417" s="536"/>
      <c r="Y417" s="537"/>
      <c r="Z417" s="12"/>
      <c r="AA417" s="536"/>
      <c r="AB417" s="536"/>
      <c r="AC417" s="547"/>
      <c r="AD417" s="536"/>
      <c r="AE417" s="537"/>
      <c r="AF417" s="12"/>
      <c r="AG417" s="536"/>
      <c r="AH417" s="536"/>
      <c r="AI417" s="547"/>
      <c r="AJ417" s="536"/>
      <c r="AK417" s="538"/>
      <c r="AL417" s="12"/>
      <c r="AM417" s="536"/>
      <c r="AN417" s="536"/>
      <c r="AO417" s="547"/>
      <c r="AP417" s="536"/>
      <c r="AQ417" s="538"/>
      <c r="AR417" s="530"/>
    </row>
    <row r="418" spans="1:44" ht="18.75">
      <c r="A418" s="536">
        <v>214</v>
      </c>
      <c r="B418" s="536">
        <v>737531</v>
      </c>
      <c r="C418" s="546" t="s">
        <v>342</v>
      </c>
      <c r="D418" s="547">
        <v>0.79</v>
      </c>
      <c r="E418" s="537">
        <v>3560</v>
      </c>
      <c r="F418" s="548">
        <v>0.79</v>
      </c>
      <c r="G418" s="537">
        <v>3560</v>
      </c>
      <c r="H418" s="536"/>
      <c r="I418" s="312"/>
      <c r="J418" s="536"/>
      <c r="K418" s="42"/>
      <c r="L418" s="50"/>
      <c r="M418" s="537"/>
      <c r="N418" s="538"/>
      <c r="O418" s="536"/>
      <c r="P418" s="536"/>
      <c r="Q418" s="547"/>
      <c r="R418" s="536"/>
      <c r="S418" s="725"/>
      <c r="T418" s="12"/>
      <c r="U418" s="536"/>
      <c r="V418" s="536"/>
      <c r="W418" s="547"/>
      <c r="X418" s="536"/>
      <c r="Y418" s="537"/>
      <c r="Z418" s="12"/>
      <c r="AA418" s="536"/>
      <c r="AB418" s="536"/>
      <c r="AC418" s="547"/>
      <c r="AD418" s="536"/>
      <c r="AE418" s="537"/>
      <c r="AF418" s="12"/>
      <c r="AG418" s="536"/>
      <c r="AH418" s="536"/>
      <c r="AI418" s="547"/>
      <c r="AJ418" s="536"/>
      <c r="AK418" s="538"/>
      <c r="AL418" s="12"/>
      <c r="AM418" s="536"/>
      <c r="AN418" s="536"/>
      <c r="AO418" s="547"/>
      <c r="AP418" s="536"/>
      <c r="AQ418" s="538"/>
      <c r="AR418" s="530"/>
    </row>
    <row r="419" spans="1:44" ht="18.75" customHeight="1">
      <c r="A419" s="1008">
        <v>215</v>
      </c>
      <c r="B419" s="1008">
        <v>740217</v>
      </c>
      <c r="C419" s="1025" t="s">
        <v>343</v>
      </c>
      <c r="D419" s="1024">
        <v>0.51</v>
      </c>
      <c r="E419" s="1017">
        <v>3840</v>
      </c>
      <c r="F419" s="1018">
        <v>0.51</v>
      </c>
      <c r="G419" s="1017">
        <v>3840</v>
      </c>
      <c r="H419" s="1019" t="s">
        <v>60</v>
      </c>
      <c r="I419" s="1019" t="s">
        <v>2726</v>
      </c>
      <c r="J419" s="1020" t="s">
        <v>114</v>
      </c>
      <c r="K419" s="558">
        <v>0.51</v>
      </c>
      <c r="L419" s="553" t="s">
        <v>17</v>
      </c>
      <c r="M419" s="1017">
        <v>4680.6602899999998</v>
      </c>
      <c r="N419" s="538"/>
      <c r="O419" s="536"/>
      <c r="P419" s="536"/>
      <c r="Q419" s="547"/>
      <c r="R419" s="536"/>
      <c r="S419" s="725"/>
      <c r="T419" s="12"/>
      <c r="U419" s="536"/>
      <c r="V419" s="536"/>
      <c r="W419" s="547"/>
      <c r="X419" s="536"/>
      <c r="Y419" s="537"/>
      <c r="Z419" s="12"/>
      <c r="AA419" s="536"/>
      <c r="AB419" s="536"/>
      <c r="AC419" s="547"/>
      <c r="AD419" s="536"/>
      <c r="AE419" s="537"/>
      <c r="AF419" s="12"/>
      <c r="AG419" s="536"/>
      <c r="AH419" s="536"/>
      <c r="AI419" s="547"/>
      <c r="AJ419" s="536"/>
      <c r="AK419" s="538"/>
      <c r="AL419" s="12"/>
      <c r="AM419" s="536"/>
      <c r="AN419" s="536"/>
      <c r="AO419" s="547"/>
      <c r="AP419" s="536"/>
      <c r="AQ419" s="538"/>
      <c r="AR419" s="530"/>
    </row>
    <row r="420" spans="1:44" ht="18.75">
      <c r="A420" s="1008"/>
      <c r="B420" s="1008"/>
      <c r="C420" s="1025"/>
      <c r="D420" s="1024"/>
      <c r="E420" s="1017"/>
      <c r="F420" s="1018"/>
      <c r="G420" s="1017"/>
      <c r="H420" s="1019"/>
      <c r="I420" s="1019"/>
      <c r="J420" s="1020"/>
      <c r="K420" s="51">
        <v>3840</v>
      </c>
      <c r="L420" s="43" t="s">
        <v>32</v>
      </c>
      <c r="M420" s="1017"/>
      <c r="N420" s="538"/>
      <c r="O420" s="536"/>
      <c r="P420" s="536"/>
      <c r="Q420" s="547"/>
      <c r="R420" s="536"/>
      <c r="S420" s="725"/>
      <c r="T420" s="12"/>
      <c r="U420" s="536"/>
      <c r="V420" s="536"/>
      <c r="W420" s="547"/>
      <c r="X420" s="536"/>
      <c r="Y420" s="537"/>
      <c r="Z420" s="12"/>
      <c r="AA420" s="536"/>
      <c r="AB420" s="536"/>
      <c r="AC420" s="547"/>
      <c r="AD420" s="536"/>
      <c r="AE420" s="537"/>
      <c r="AF420" s="12"/>
      <c r="AG420" s="536"/>
      <c r="AH420" s="536"/>
      <c r="AI420" s="547"/>
      <c r="AJ420" s="536"/>
      <c r="AK420" s="538"/>
      <c r="AL420" s="12"/>
      <c r="AM420" s="536"/>
      <c r="AN420" s="536"/>
      <c r="AO420" s="547"/>
      <c r="AP420" s="536"/>
      <c r="AQ420" s="538"/>
      <c r="AR420" s="530"/>
    </row>
    <row r="421" spans="1:44" ht="24.75" customHeight="1">
      <c r="A421" s="1008">
        <v>216</v>
      </c>
      <c r="B421" s="1008">
        <v>736845</v>
      </c>
      <c r="C421" s="1025" t="s">
        <v>344</v>
      </c>
      <c r="D421" s="1024">
        <v>0.90500000000000003</v>
      </c>
      <c r="E421" s="1017">
        <v>5600</v>
      </c>
      <c r="F421" s="1018">
        <v>0.9</v>
      </c>
      <c r="G421" s="1017">
        <v>5600</v>
      </c>
      <c r="H421" s="1019" t="s">
        <v>60</v>
      </c>
      <c r="I421" s="971" t="s">
        <v>2721</v>
      </c>
      <c r="J421" s="1020" t="s">
        <v>114</v>
      </c>
      <c r="K421" s="558">
        <v>0.12</v>
      </c>
      <c r="L421" s="553" t="s">
        <v>17</v>
      </c>
      <c r="M421" s="1017">
        <v>1341.7537</v>
      </c>
      <c r="N421" s="538"/>
      <c r="O421" s="536"/>
      <c r="P421" s="536"/>
      <c r="Q421" s="547"/>
      <c r="R421" s="536"/>
      <c r="S421" s="725"/>
      <c r="T421" s="12"/>
      <c r="U421" s="536"/>
      <c r="V421" s="536"/>
      <c r="W421" s="547"/>
      <c r="X421" s="536"/>
      <c r="Y421" s="537"/>
      <c r="Z421" s="12"/>
      <c r="AA421" s="536"/>
      <c r="AB421" s="536"/>
      <c r="AC421" s="547"/>
      <c r="AD421" s="536"/>
      <c r="AE421" s="537"/>
      <c r="AF421" s="12"/>
      <c r="AG421" s="536"/>
      <c r="AH421" s="536"/>
      <c r="AI421" s="547"/>
      <c r="AJ421" s="536"/>
      <c r="AK421" s="538"/>
      <c r="AL421" s="12"/>
      <c r="AM421" s="536"/>
      <c r="AN421" s="536"/>
      <c r="AO421" s="547"/>
      <c r="AP421" s="536"/>
      <c r="AQ421" s="538"/>
      <c r="AR421" s="530"/>
    </row>
    <row r="422" spans="1:44" ht="24.75" customHeight="1">
      <c r="A422" s="1008"/>
      <c r="B422" s="1008"/>
      <c r="C422" s="1025"/>
      <c r="D422" s="1024"/>
      <c r="E422" s="1017"/>
      <c r="F422" s="1018"/>
      <c r="G422" s="1017"/>
      <c r="H422" s="1019"/>
      <c r="I422" s="971"/>
      <c r="J422" s="1020"/>
      <c r="K422" s="51">
        <v>1150</v>
      </c>
      <c r="L422" s="43" t="s">
        <v>32</v>
      </c>
      <c r="M422" s="1017"/>
      <c r="N422" s="538"/>
      <c r="O422" s="536"/>
      <c r="P422" s="536"/>
      <c r="Q422" s="547"/>
      <c r="R422" s="536"/>
      <c r="S422" s="725"/>
      <c r="T422" s="12"/>
      <c r="U422" s="536"/>
      <c r="V422" s="536"/>
      <c r="W422" s="547"/>
      <c r="X422" s="536"/>
      <c r="Y422" s="537"/>
      <c r="Z422" s="12"/>
      <c r="AA422" s="536"/>
      <c r="AB422" s="536"/>
      <c r="AC422" s="547"/>
      <c r="AD422" s="536"/>
      <c r="AE422" s="537"/>
      <c r="AF422" s="12"/>
      <c r="AG422" s="536"/>
      <c r="AH422" s="536"/>
      <c r="AI422" s="547"/>
      <c r="AJ422" s="536"/>
      <c r="AK422" s="538"/>
      <c r="AL422" s="12"/>
      <c r="AM422" s="536"/>
      <c r="AN422" s="536"/>
      <c r="AO422" s="547"/>
      <c r="AP422" s="536"/>
      <c r="AQ422" s="538"/>
      <c r="AR422" s="530"/>
    </row>
    <row r="423" spans="1:44" ht="56.25">
      <c r="A423" s="536">
        <v>217</v>
      </c>
      <c r="B423" s="536">
        <v>737894</v>
      </c>
      <c r="C423" s="546" t="s">
        <v>345</v>
      </c>
      <c r="D423" s="547">
        <v>0.23</v>
      </c>
      <c r="E423" s="537">
        <v>4800</v>
      </c>
      <c r="F423" s="548">
        <v>0.23</v>
      </c>
      <c r="G423" s="537">
        <v>4800</v>
      </c>
      <c r="H423" s="539"/>
      <c r="I423" s="312"/>
      <c r="J423" s="536"/>
      <c r="K423" s="42"/>
      <c r="L423" s="50"/>
      <c r="M423" s="537"/>
      <c r="N423" s="538"/>
      <c r="O423" s="536"/>
      <c r="P423" s="536"/>
      <c r="Q423" s="547"/>
      <c r="R423" s="536"/>
      <c r="S423" s="725"/>
      <c r="T423" s="12"/>
      <c r="U423" s="536"/>
      <c r="V423" s="536"/>
      <c r="W423" s="547"/>
      <c r="X423" s="536"/>
      <c r="Y423" s="537"/>
      <c r="Z423" s="12"/>
      <c r="AA423" s="536"/>
      <c r="AB423" s="536" t="s">
        <v>93</v>
      </c>
      <c r="AC423" s="547">
        <v>1</v>
      </c>
      <c r="AD423" s="536" t="s">
        <v>118</v>
      </c>
      <c r="AE423" s="537">
        <v>50</v>
      </c>
      <c r="AF423" s="12"/>
      <c r="AG423" s="536"/>
      <c r="AH423" s="536"/>
      <c r="AI423" s="547"/>
      <c r="AJ423" s="536"/>
      <c r="AK423" s="538"/>
      <c r="AL423" s="12"/>
      <c r="AM423" s="536"/>
      <c r="AN423" s="536"/>
      <c r="AO423" s="547"/>
      <c r="AP423" s="536"/>
      <c r="AQ423" s="538"/>
      <c r="AR423" s="530"/>
    </row>
    <row r="424" spans="1:44" ht="56.25">
      <c r="A424" s="536">
        <v>218</v>
      </c>
      <c r="B424" s="536">
        <v>740112</v>
      </c>
      <c r="C424" s="546" t="s">
        <v>346</v>
      </c>
      <c r="D424" s="547">
        <v>0.39</v>
      </c>
      <c r="E424" s="537">
        <v>1972</v>
      </c>
      <c r="F424" s="548">
        <v>0.39</v>
      </c>
      <c r="G424" s="537">
        <v>1972</v>
      </c>
      <c r="H424" s="536"/>
      <c r="I424" s="312"/>
      <c r="J424" s="536"/>
      <c r="K424" s="42"/>
      <c r="L424" s="50"/>
      <c r="M424" s="537"/>
      <c r="N424" s="538"/>
      <c r="O424" s="536"/>
      <c r="P424" s="536"/>
      <c r="Q424" s="547"/>
      <c r="R424" s="536"/>
      <c r="S424" s="725"/>
      <c r="T424" s="12"/>
      <c r="U424" s="536"/>
      <c r="V424" s="536"/>
      <c r="W424" s="547"/>
      <c r="X424" s="536"/>
      <c r="Y424" s="537"/>
      <c r="Z424" s="12"/>
      <c r="AA424" s="536"/>
      <c r="AB424" s="536"/>
      <c r="AC424" s="547"/>
      <c r="AD424" s="536"/>
      <c r="AE424" s="537"/>
      <c r="AF424" s="12"/>
      <c r="AG424" s="536"/>
      <c r="AH424" s="536" t="s">
        <v>93</v>
      </c>
      <c r="AI424" s="547">
        <v>1</v>
      </c>
      <c r="AJ424" s="536" t="s">
        <v>118</v>
      </c>
      <c r="AK424" s="537">
        <v>50</v>
      </c>
      <c r="AL424" s="12"/>
      <c r="AM424" s="536"/>
      <c r="AN424" s="536"/>
      <c r="AO424" s="547"/>
      <c r="AP424" s="536"/>
      <c r="AQ424" s="538"/>
      <c r="AR424" s="530"/>
    </row>
    <row r="425" spans="1:44" ht="18.75">
      <c r="A425" s="1008">
        <v>219</v>
      </c>
      <c r="B425" s="1008">
        <v>742355</v>
      </c>
      <c r="C425" s="1025" t="s">
        <v>347</v>
      </c>
      <c r="D425" s="1024">
        <v>0.78</v>
      </c>
      <c r="E425" s="1017">
        <v>5750</v>
      </c>
      <c r="F425" s="1018">
        <v>0.78</v>
      </c>
      <c r="G425" s="1017">
        <v>5750</v>
      </c>
      <c r="H425" s="1008" t="s">
        <v>60</v>
      </c>
      <c r="I425" s="971" t="s">
        <v>2756</v>
      </c>
      <c r="J425" s="1020" t="s">
        <v>114</v>
      </c>
      <c r="K425" s="558">
        <v>0.78</v>
      </c>
      <c r="L425" s="553" t="s">
        <v>17</v>
      </c>
      <c r="M425" s="1017">
        <v>6786.3985300000004</v>
      </c>
      <c r="N425" s="538"/>
      <c r="O425" s="536"/>
      <c r="P425" s="536"/>
      <c r="Q425" s="547"/>
      <c r="R425" s="536"/>
      <c r="S425" s="725"/>
      <c r="T425" s="12"/>
      <c r="U425" s="536"/>
      <c r="V425" s="536"/>
      <c r="W425" s="547"/>
      <c r="X425" s="536"/>
      <c r="Y425" s="537"/>
      <c r="Z425" s="12"/>
      <c r="AA425" s="536"/>
      <c r="AB425" s="536"/>
      <c r="AC425" s="547"/>
      <c r="AD425" s="536"/>
      <c r="AE425" s="537"/>
      <c r="AF425" s="12"/>
      <c r="AG425" s="536"/>
      <c r="AH425" s="536"/>
      <c r="AI425" s="547"/>
      <c r="AJ425" s="536"/>
      <c r="AK425" s="538"/>
      <c r="AL425" s="12"/>
      <c r="AM425" s="536"/>
      <c r="AN425" s="536"/>
      <c r="AO425" s="547"/>
      <c r="AP425" s="536"/>
      <c r="AQ425" s="538"/>
      <c r="AR425" s="530"/>
    </row>
    <row r="426" spans="1:44" ht="18.75">
      <c r="A426" s="1008"/>
      <c r="B426" s="1008"/>
      <c r="C426" s="1025"/>
      <c r="D426" s="1024"/>
      <c r="E426" s="1017"/>
      <c r="F426" s="1018"/>
      <c r="G426" s="1017"/>
      <c r="H426" s="1008"/>
      <c r="I426" s="971"/>
      <c r="J426" s="1020"/>
      <c r="K426" s="51">
        <v>5750</v>
      </c>
      <c r="L426" s="43" t="s">
        <v>32</v>
      </c>
      <c r="M426" s="1017"/>
      <c r="N426" s="538"/>
      <c r="O426" s="536"/>
      <c r="P426" s="536"/>
      <c r="Q426" s="547"/>
      <c r="R426" s="536"/>
      <c r="S426" s="725"/>
      <c r="T426" s="12"/>
      <c r="U426" s="536"/>
      <c r="V426" s="536"/>
      <c r="W426" s="547"/>
      <c r="X426" s="536"/>
      <c r="Y426" s="537"/>
      <c r="Z426" s="12"/>
      <c r="AA426" s="536"/>
      <c r="AB426" s="536"/>
      <c r="AC426" s="547"/>
      <c r="AD426" s="536"/>
      <c r="AE426" s="537"/>
      <c r="AF426" s="12"/>
      <c r="AG426" s="536"/>
      <c r="AH426" s="536"/>
      <c r="AI426" s="547"/>
      <c r="AJ426" s="536"/>
      <c r="AK426" s="538"/>
      <c r="AL426" s="12"/>
      <c r="AM426" s="536"/>
      <c r="AN426" s="536"/>
      <c r="AO426" s="547"/>
      <c r="AP426" s="536"/>
      <c r="AQ426" s="538"/>
      <c r="AR426" s="530"/>
    </row>
    <row r="427" spans="1:44" ht="56.25" customHeight="1">
      <c r="A427" s="1008">
        <v>220</v>
      </c>
      <c r="B427" s="1008">
        <v>739029</v>
      </c>
      <c r="C427" s="1025" t="s">
        <v>348</v>
      </c>
      <c r="D427" s="1024">
        <v>0.4</v>
      </c>
      <c r="E427" s="1017">
        <v>5062</v>
      </c>
      <c r="F427" s="1018">
        <v>0.4</v>
      </c>
      <c r="G427" s="1017">
        <v>5062</v>
      </c>
      <c r="H427" s="1019" t="s">
        <v>60</v>
      </c>
      <c r="I427" s="971" t="s">
        <v>2757</v>
      </c>
      <c r="J427" s="1020" t="s">
        <v>114</v>
      </c>
      <c r="K427" s="558">
        <v>0.35</v>
      </c>
      <c r="L427" s="553" t="s">
        <v>17</v>
      </c>
      <c r="M427" s="1017">
        <v>4055.5137</v>
      </c>
      <c r="N427" s="49" t="s">
        <v>2838</v>
      </c>
      <c r="O427" s="49" t="s">
        <v>2838</v>
      </c>
      <c r="P427" s="536" t="s">
        <v>120</v>
      </c>
      <c r="Q427" s="547">
        <v>1</v>
      </c>
      <c r="R427" s="536" t="s">
        <v>118</v>
      </c>
      <c r="S427" s="725">
        <v>550</v>
      </c>
      <c r="T427" s="12"/>
      <c r="U427" s="536"/>
      <c r="V427" s="536"/>
      <c r="W427" s="547"/>
      <c r="X427" s="536"/>
      <c r="Y427" s="537"/>
      <c r="Z427" s="12"/>
      <c r="AA427" s="536"/>
      <c r="AB427" s="536"/>
      <c r="AC427" s="547"/>
      <c r="AD427" s="536"/>
      <c r="AE427" s="537"/>
      <c r="AF427" s="12"/>
      <c r="AG427" s="536"/>
      <c r="AH427" s="536"/>
      <c r="AI427" s="547"/>
      <c r="AJ427" s="536"/>
      <c r="AK427" s="538"/>
      <c r="AL427" s="12"/>
      <c r="AM427" s="536"/>
      <c r="AN427" s="536"/>
      <c r="AO427" s="547"/>
      <c r="AP427" s="536"/>
      <c r="AQ427" s="538"/>
      <c r="AR427" s="530"/>
    </row>
    <row r="428" spans="1:44" ht="29.25" customHeight="1">
      <c r="A428" s="1008"/>
      <c r="B428" s="1008"/>
      <c r="C428" s="1025"/>
      <c r="D428" s="1024"/>
      <c r="E428" s="1017"/>
      <c r="F428" s="1018"/>
      <c r="G428" s="1017"/>
      <c r="H428" s="1019"/>
      <c r="I428" s="971"/>
      <c r="J428" s="1020"/>
      <c r="K428" s="51">
        <v>3310</v>
      </c>
      <c r="L428" s="43" t="s">
        <v>32</v>
      </c>
      <c r="M428" s="1017"/>
      <c r="N428" s="538"/>
      <c r="O428" s="536"/>
      <c r="P428" s="536"/>
      <c r="Q428" s="547"/>
      <c r="R428" s="536"/>
      <c r="S428" s="725"/>
      <c r="T428" s="12"/>
      <c r="U428" s="536"/>
      <c r="V428" s="536"/>
      <c r="W428" s="547"/>
      <c r="X428" s="536"/>
      <c r="Y428" s="537"/>
      <c r="Z428" s="12"/>
      <c r="AA428" s="536"/>
      <c r="AB428" s="536"/>
      <c r="AC428" s="547"/>
      <c r="AD428" s="536"/>
      <c r="AE428" s="537"/>
      <c r="AF428" s="12"/>
      <c r="AG428" s="536"/>
      <c r="AH428" s="536"/>
      <c r="AI428" s="547"/>
      <c r="AJ428" s="536"/>
      <c r="AK428" s="538"/>
      <c r="AL428" s="12"/>
      <c r="AM428" s="536"/>
      <c r="AN428" s="536"/>
      <c r="AO428" s="547"/>
      <c r="AP428" s="536"/>
      <c r="AQ428" s="538"/>
      <c r="AR428" s="530"/>
    </row>
    <row r="429" spans="1:44" ht="56.25">
      <c r="A429" s="536">
        <v>221</v>
      </c>
      <c r="B429" s="536">
        <v>740218</v>
      </c>
      <c r="C429" s="546" t="s">
        <v>349</v>
      </c>
      <c r="D429" s="547">
        <v>0.23</v>
      </c>
      <c r="E429" s="537">
        <v>1500</v>
      </c>
      <c r="F429" s="548">
        <v>0.23</v>
      </c>
      <c r="G429" s="537">
        <v>1500</v>
      </c>
      <c r="H429" s="536"/>
      <c r="I429" s="312"/>
      <c r="J429" s="536"/>
      <c r="K429" s="42"/>
      <c r="L429" s="50"/>
      <c r="M429" s="537"/>
      <c r="N429" s="538"/>
      <c r="O429" s="536"/>
      <c r="P429" s="536"/>
      <c r="Q429" s="547"/>
      <c r="R429" s="536"/>
      <c r="S429" s="725"/>
      <c r="T429" s="12"/>
      <c r="U429" s="536"/>
      <c r="V429" s="536"/>
      <c r="W429" s="547"/>
      <c r="X429" s="536"/>
      <c r="Y429" s="537"/>
      <c r="Z429" s="12"/>
      <c r="AA429" s="536"/>
      <c r="AB429" s="536" t="s">
        <v>93</v>
      </c>
      <c r="AC429" s="547">
        <v>1</v>
      </c>
      <c r="AD429" s="536" t="s">
        <v>118</v>
      </c>
      <c r="AE429" s="537">
        <v>50</v>
      </c>
      <c r="AF429" s="12"/>
      <c r="AG429" s="536"/>
      <c r="AH429" s="536"/>
      <c r="AI429" s="547"/>
      <c r="AJ429" s="536"/>
      <c r="AK429" s="538"/>
      <c r="AL429" s="12"/>
      <c r="AM429" s="536"/>
      <c r="AN429" s="536"/>
      <c r="AO429" s="547"/>
      <c r="AP429" s="536"/>
      <c r="AQ429" s="538"/>
      <c r="AR429" s="530"/>
    </row>
    <row r="430" spans="1:44" ht="56.25">
      <c r="A430" s="1008">
        <v>222</v>
      </c>
      <c r="B430" s="1008">
        <v>735771</v>
      </c>
      <c r="C430" s="1025" t="s">
        <v>350</v>
      </c>
      <c r="D430" s="1024">
        <v>0.374</v>
      </c>
      <c r="E430" s="1017">
        <v>3740</v>
      </c>
      <c r="F430" s="1018">
        <v>0.374</v>
      </c>
      <c r="G430" s="1017">
        <v>3740</v>
      </c>
      <c r="H430" s="539"/>
      <c r="I430" s="312"/>
      <c r="J430" s="536"/>
      <c r="K430" s="42"/>
      <c r="L430" s="50"/>
      <c r="M430" s="537"/>
      <c r="N430" s="318"/>
      <c r="O430" s="549"/>
      <c r="P430" s="1008"/>
      <c r="Q430" s="547"/>
      <c r="R430" s="553"/>
      <c r="S430" s="1034"/>
      <c r="T430" s="12"/>
      <c r="U430" s="536"/>
      <c r="V430" s="536"/>
      <c r="W430" s="547"/>
      <c r="X430" s="536"/>
      <c r="Y430" s="537"/>
      <c r="Z430" s="12"/>
      <c r="AA430" s="536"/>
      <c r="AB430" s="536"/>
      <c r="AC430" s="547"/>
      <c r="AD430" s="536"/>
      <c r="AE430" s="537"/>
      <c r="AF430" s="12"/>
      <c r="AG430" s="536"/>
      <c r="AH430" s="536"/>
      <c r="AI430" s="547"/>
      <c r="AJ430" s="536"/>
      <c r="AK430" s="538"/>
      <c r="AL430" s="12"/>
      <c r="AM430" s="536"/>
      <c r="AN430" s="536" t="s">
        <v>93</v>
      </c>
      <c r="AO430" s="547">
        <v>1</v>
      </c>
      <c r="AP430" s="536" t="s">
        <v>118</v>
      </c>
      <c r="AQ430" s="537">
        <v>50</v>
      </c>
      <c r="AR430" s="530"/>
    </row>
    <row r="431" spans="1:44" ht="18.75">
      <c r="A431" s="1008"/>
      <c r="B431" s="1008"/>
      <c r="C431" s="1025"/>
      <c r="D431" s="1024"/>
      <c r="E431" s="1017"/>
      <c r="F431" s="1018"/>
      <c r="G431" s="1017"/>
      <c r="H431" s="539"/>
      <c r="I431" s="312"/>
      <c r="J431" s="536"/>
      <c r="K431" s="42"/>
      <c r="L431" s="50"/>
      <c r="M431" s="537"/>
      <c r="N431" s="318"/>
      <c r="O431" s="549"/>
      <c r="P431" s="1008"/>
      <c r="Q431" s="539"/>
      <c r="R431" s="43"/>
      <c r="S431" s="1035"/>
      <c r="T431" s="12"/>
      <c r="U431" s="536"/>
      <c r="V431" s="536"/>
      <c r="W431" s="547"/>
      <c r="X431" s="536"/>
      <c r="Y431" s="537"/>
      <c r="Z431" s="12"/>
      <c r="AA431" s="536"/>
      <c r="AB431" s="536"/>
      <c r="AC431" s="547"/>
      <c r="AD431" s="536"/>
      <c r="AE431" s="537"/>
      <c r="AF431" s="12"/>
      <c r="AG431" s="536"/>
      <c r="AH431" s="536"/>
      <c r="AI431" s="547"/>
      <c r="AJ431" s="536"/>
      <c r="AK431" s="538"/>
      <c r="AL431" s="12"/>
      <c r="AM431" s="536"/>
      <c r="AN431" s="536"/>
      <c r="AO431" s="547"/>
      <c r="AP431" s="536"/>
      <c r="AQ431" s="538"/>
      <c r="AR431" s="530"/>
    </row>
    <row r="432" spans="1:44" ht="18.75">
      <c r="A432" s="1008">
        <v>223</v>
      </c>
      <c r="B432" s="1008">
        <v>736036</v>
      </c>
      <c r="C432" s="1025" t="s">
        <v>351</v>
      </c>
      <c r="D432" s="1024">
        <v>0.64</v>
      </c>
      <c r="E432" s="1017">
        <v>8192</v>
      </c>
      <c r="F432" s="1018">
        <v>0.64</v>
      </c>
      <c r="G432" s="1017">
        <v>8192</v>
      </c>
      <c r="H432" s="539"/>
      <c r="I432" s="539"/>
      <c r="J432" s="536"/>
      <c r="K432" s="47"/>
      <c r="L432" s="50"/>
      <c r="M432" s="537"/>
      <c r="N432" s="49"/>
      <c r="O432" s="49"/>
      <c r="P432" s="536"/>
      <c r="Q432" s="47"/>
      <c r="R432" s="50"/>
      <c r="S432" s="725"/>
      <c r="T432" s="12"/>
      <c r="U432" s="536"/>
      <c r="V432" s="536"/>
      <c r="W432" s="547"/>
      <c r="X432" s="536"/>
      <c r="Y432" s="537"/>
      <c r="Z432" s="1019"/>
      <c r="AA432" s="1019"/>
      <c r="AB432" s="536"/>
      <c r="AC432" s="47"/>
      <c r="AD432" s="50"/>
      <c r="AE432" s="537"/>
      <c r="AF432" s="12"/>
      <c r="AG432" s="536"/>
      <c r="AH432" s="536"/>
      <c r="AI432" s="547"/>
      <c r="AJ432" s="536"/>
      <c r="AK432" s="538"/>
      <c r="AL432" s="1031"/>
      <c r="AM432" s="1023"/>
      <c r="AN432" s="1042" t="s">
        <v>31</v>
      </c>
      <c r="AO432" s="547">
        <v>0.64</v>
      </c>
      <c r="AP432" s="553" t="s">
        <v>17</v>
      </c>
      <c r="AQ432" s="1027">
        <v>14169.6</v>
      </c>
      <c r="AR432" s="530"/>
    </row>
    <row r="433" spans="1:44" ht="18.75">
      <c r="A433" s="1008"/>
      <c r="B433" s="1008"/>
      <c r="C433" s="1025"/>
      <c r="D433" s="1024"/>
      <c r="E433" s="1017"/>
      <c r="F433" s="1018"/>
      <c r="G433" s="1017"/>
      <c r="H433" s="539"/>
      <c r="I433" s="312"/>
      <c r="J433" s="536"/>
      <c r="K433" s="42"/>
      <c r="L433" s="50"/>
      <c r="M433" s="537"/>
      <c r="N433" s="538"/>
      <c r="O433" s="536"/>
      <c r="P433" s="536"/>
      <c r="Q433" s="547"/>
      <c r="R433" s="536"/>
      <c r="S433" s="725"/>
      <c r="T433" s="12"/>
      <c r="U433" s="536"/>
      <c r="V433" s="536"/>
      <c r="W433" s="547"/>
      <c r="X433" s="536"/>
      <c r="Y433" s="537"/>
      <c r="Z433" s="12"/>
      <c r="AA433" s="536"/>
      <c r="AB433" s="536"/>
      <c r="AC433" s="547"/>
      <c r="AD433" s="536"/>
      <c r="AE433" s="537"/>
      <c r="AF433" s="12"/>
      <c r="AG433" s="536"/>
      <c r="AH433" s="536"/>
      <c r="AI433" s="547"/>
      <c r="AJ433" s="536"/>
      <c r="AK433" s="538"/>
      <c r="AL433" s="1026"/>
      <c r="AM433" s="1026"/>
      <c r="AN433" s="1026"/>
      <c r="AO433" s="536">
        <v>10496</v>
      </c>
      <c r="AP433" s="43" t="s">
        <v>32</v>
      </c>
      <c r="AQ433" s="1027"/>
      <c r="AR433" s="530"/>
    </row>
    <row r="434" spans="1:44" ht="18.75">
      <c r="A434" s="1008">
        <v>224</v>
      </c>
      <c r="B434" s="1008">
        <v>735153</v>
      </c>
      <c r="C434" s="1025" t="s">
        <v>352</v>
      </c>
      <c r="D434" s="1024">
        <v>0.95699999999999996</v>
      </c>
      <c r="E434" s="1017">
        <v>6507</v>
      </c>
      <c r="F434" s="1018">
        <v>0.96</v>
      </c>
      <c r="G434" s="1017">
        <v>6507</v>
      </c>
      <c r="H434" s="1008" t="s">
        <v>2758</v>
      </c>
      <c r="I434" s="971" t="s">
        <v>2759</v>
      </c>
      <c r="J434" s="1020" t="s">
        <v>114</v>
      </c>
      <c r="K434" s="558">
        <v>0.1</v>
      </c>
      <c r="L434" s="553" t="s">
        <v>17</v>
      </c>
      <c r="M434" s="1017">
        <v>565.91106000000002</v>
      </c>
      <c r="N434" s="538"/>
      <c r="O434" s="536"/>
      <c r="P434" s="536"/>
      <c r="Q434" s="547"/>
      <c r="R434" s="536"/>
      <c r="S434" s="725"/>
      <c r="T434" s="12"/>
      <c r="U434" s="536"/>
      <c r="V434" s="536"/>
      <c r="W434" s="547"/>
      <c r="X434" s="536"/>
      <c r="Y434" s="537"/>
      <c r="Z434" s="12"/>
      <c r="AA434" s="536"/>
      <c r="AB434" s="536"/>
      <c r="AC434" s="547"/>
      <c r="AD434" s="536"/>
      <c r="AE434" s="537"/>
      <c r="AF434" s="12"/>
      <c r="AG434" s="536"/>
      <c r="AH434" s="536"/>
      <c r="AI434" s="547"/>
      <c r="AJ434" s="536"/>
      <c r="AK434" s="538"/>
      <c r="AL434" s="1031"/>
      <c r="AM434" s="1023"/>
      <c r="AN434" s="1042"/>
      <c r="AO434" s="547"/>
      <c r="AP434" s="553"/>
      <c r="AQ434" s="1027"/>
      <c r="AR434" s="530"/>
    </row>
    <row r="435" spans="1:44" ht="18.75">
      <c r="A435" s="1008"/>
      <c r="B435" s="1008"/>
      <c r="C435" s="1025"/>
      <c r="D435" s="1024"/>
      <c r="E435" s="1017"/>
      <c r="F435" s="1018"/>
      <c r="G435" s="1017"/>
      <c r="H435" s="1008"/>
      <c r="I435" s="971"/>
      <c r="J435" s="1020"/>
      <c r="K435" s="51">
        <v>478</v>
      </c>
      <c r="L435" s="43" t="s">
        <v>32</v>
      </c>
      <c r="M435" s="1017"/>
      <c r="N435" s="538"/>
      <c r="O435" s="536"/>
      <c r="P435" s="536"/>
      <c r="Q435" s="547"/>
      <c r="R435" s="536"/>
      <c r="S435" s="725"/>
      <c r="T435" s="12"/>
      <c r="U435" s="536"/>
      <c r="V435" s="536"/>
      <c r="W435" s="547"/>
      <c r="X435" s="536"/>
      <c r="Y435" s="537"/>
      <c r="Z435" s="12"/>
      <c r="AA435" s="536"/>
      <c r="AB435" s="536"/>
      <c r="AC435" s="547"/>
      <c r="AD435" s="536"/>
      <c r="AE435" s="537"/>
      <c r="AF435" s="12"/>
      <c r="AG435" s="536"/>
      <c r="AH435" s="536"/>
      <c r="AI435" s="547"/>
      <c r="AJ435" s="536"/>
      <c r="AK435" s="538"/>
      <c r="AL435" s="1026"/>
      <c r="AM435" s="1026"/>
      <c r="AN435" s="1026"/>
      <c r="AO435" s="536"/>
      <c r="AP435" s="43"/>
      <c r="AQ435" s="1027"/>
      <c r="AR435" s="530"/>
    </row>
    <row r="436" spans="1:44" ht="18.75">
      <c r="A436" s="1008">
        <v>225</v>
      </c>
      <c r="B436" s="1008">
        <v>739690</v>
      </c>
      <c r="C436" s="1025" t="s">
        <v>353</v>
      </c>
      <c r="D436" s="1024">
        <v>0.25</v>
      </c>
      <c r="E436" s="1017">
        <v>1634</v>
      </c>
      <c r="F436" s="1018">
        <v>0.25</v>
      </c>
      <c r="G436" s="1017">
        <v>1634</v>
      </c>
      <c r="H436" s="1019" t="s">
        <v>60</v>
      </c>
      <c r="I436" s="971" t="s">
        <v>2697</v>
      </c>
      <c r="J436" s="1020" t="s">
        <v>114</v>
      </c>
      <c r="K436" s="558">
        <v>0.25</v>
      </c>
      <c r="L436" s="553" t="s">
        <v>17</v>
      </c>
      <c r="M436" s="1017">
        <v>1950.3882599999999</v>
      </c>
      <c r="N436" s="538"/>
      <c r="O436" s="536"/>
      <c r="P436" s="536"/>
      <c r="Q436" s="547"/>
      <c r="R436" s="536"/>
      <c r="S436" s="725"/>
      <c r="T436" s="12"/>
      <c r="U436" s="536"/>
      <c r="V436" s="536"/>
      <c r="W436" s="547"/>
      <c r="X436" s="536"/>
      <c r="Y436" s="537"/>
      <c r="Z436" s="12"/>
      <c r="AA436" s="536"/>
      <c r="AB436" s="536"/>
      <c r="AC436" s="547"/>
      <c r="AD436" s="536"/>
      <c r="AE436" s="537"/>
      <c r="AF436" s="12"/>
      <c r="AG436" s="536"/>
      <c r="AH436" s="536"/>
      <c r="AI436" s="547"/>
      <c r="AJ436" s="536"/>
      <c r="AK436" s="538"/>
      <c r="AL436" s="1031"/>
      <c r="AM436" s="1023"/>
      <c r="AN436" s="1042"/>
      <c r="AO436" s="547"/>
      <c r="AP436" s="553"/>
      <c r="AQ436" s="1027"/>
      <c r="AR436" s="530"/>
    </row>
    <row r="437" spans="1:44" ht="18.75">
      <c r="A437" s="1008"/>
      <c r="B437" s="1008"/>
      <c r="C437" s="1025"/>
      <c r="D437" s="1024"/>
      <c r="E437" s="1017"/>
      <c r="F437" s="1018"/>
      <c r="G437" s="1017"/>
      <c r="H437" s="1019"/>
      <c r="I437" s="971"/>
      <c r="J437" s="1020"/>
      <c r="K437" s="51">
        <v>1634</v>
      </c>
      <c r="L437" s="43" t="s">
        <v>32</v>
      </c>
      <c r="M437" s="1017"/>
      <c r="N437" s="538"/>
      <c r="O437" s="536"/>
      <c r="P437" s="536"/>
      <c r="Q437" s="547"/>
      <c r="R437" s="536"/>
      <c r="S437" s="725"/>
      <c r="T437" s="12"/>
      <c r="U437" s="536"/>
      <c r="V437" s="536"/>
      <c r="W437" s="547"/>
      <c r="X437" s="536"/>
      <c r="Y437" s="537"/>
      <c r="Z437" s="12"/>
      <c r="AA437" s="536"/>
      <c r="AB437" s="536"/>
      <c r="AC437" s="547"/>
      <c r="AD437" s="536"/>
      <c r="AE437" s="537"/>
      <c r="AF437" s="12"/>
      <c r="AG437" s="536"/>
      <c r="AH437" s="536"/>
      <c r="AI437" s="547"/>
      <c r="AJ437" s="536"/>
      <c r="AK437" s="538"/>
      <c r="AL437" s="1026"/>
      <c r="AM437" s="1026"/>
      <c r="AN437" s="1026"/>
      <c r="AO437" s="536"/>
      <c r="AP437" s="43"/>
      <c r="AQ437" s="1027"/>
      <c r="AR437" s="530"/>
    </row>
    <row r="438" spans="1:44" ht="37.5">
      <c r="A438" s="536">
        <v>226</v>
      </c>
      <c r="B438" s="536">
        <v>745052</v>
      </c>
      <c r="C438" s="546" t="s">
        <v>354</v>
      </c>
      <c r="D438" s="547">
        <v>0.68</v>
      </c>
      <c r="E438" s="537">
        <v>4683</v>
      </c>
      <c r="F438" s="548">
        <v>0.68</v>
      </c>
      <c r="G438" s="537">
        <v>4683</v>
      </c>
      <c r="H438" s="536"/>
      <c r="I438" s="312"/>
      <c r="J438" s="536"/>
      <c r="K438" s="42"/>
      <c r="L438" s="50"/>
      <c r="M438" s="537"/>
      <c r="N438" s="49" t="s">
        <v>2879</v>
      </c>
      <c r="O438" s="49" t="s">
        <v>2880</v>
      </c>
      <c r="P438" s="536" t="s">
        <v>93</v>
      </c>
      <c r="Q438" s="547">
        <v>1</v>
      </c>
      <c r="R438" s="536" t="s">
        <v>118</v>
      </c>
      <c r="S438" s="725">
        <v>50</v>
      </c>
      <c r="T438" s="12"/>
      <c r="U438" s="536"/>
      <c r="V438" s="536"/>
      <c r="W438" s="547"/>
      <c r="X438" s="536"/>
      <c r="Y438" s="537"/>
      <c r="Z438" s="12"/>
      <c r="AA438" s="536"/>
      <c r="AB438" s="536"/>
      <c r="AC438" s="547"/>
      <c r="AD438" s="536"/>
      <c r="AE438" s="537"/>
      <c r="AF438" s="12"/>
      <c r="AG438" s="536"/>
      <c r="AH438" s="536"/>
      <c r="AI438" s="547"/>
      <c r="AJ438" s="536"/>
      <c r="AK438" s="538"/>
      <c r="AL438" s="12"/>
      <c r="AM438" s="536"/>
      <c r="AN438" s="536"/>
      <c r="AO438" s="547"/>
      <c r="AP438" s="536"/>
      <c r="AQ438" s="538"/>
      <c r="AR438" s="530"/>
    </row>
    <row r="439" spans="1:44" ht="56.25">
      <c r="A439" s="536">
        <v>227</v>
      </c>
      <c r="B439" s="536">
        <v>734698</v>
      </c>
      <c r="C439" s="546" t="s">
        <v>355</v>
      </c>
      <c r="D439" s="547">
        <v>1.9</v>
      </c>
      <c r="E439" s="537">
        <v>16960</v>
      </c>
      <c r="F439" s="548">
        <v>1.9</v>
      </c>
      <c r="G439" s="537">
        <v>16960</v>
      </c>
      <c r="H439" s="539"/>
      <c r="I439" s="312"/>
      <c r="J439" s="536"/>
      <c r="K439" s="42"/>
      <c r="L439" s="50"/>
      <c r="M439" s="537"/>
      <c r="N439" s="538"/>
      <c r="O439" s="536"/>
      <c r="P439" s="536"/>
      <c r="Q439" s="547"/>
      <c r="R439" s="536"/>
      <c r="S439" s="725"/>
      <c r="T439" s="12"/>
      <c r="U439" s="536"/>
      <c r="V439" s="536"/>
      <c r="W439" s="547"/>
      <c r="X439" s="536"/>
      <c r="Y439" s="537"/>
      <c r="Z439" s="12"/>
      <c r="AA439" s="536"/>
      <c r="AB439" s="536"/>
      <c r="AC439" s="547"/>
      <c r="AD439" s="536"/>
      <c r="AE439" s="537"/>
      <c r="AF439" s="12"/>
      <c r="AG439" s="536"/>
      <c r="AH439" s="536"/>
      <c r="AI439" s="547"/>
      <c r="AJ439" s="536"/>
      <c r="AK439" s="538"/>
      <c r="AL439" s="12"/>
      <c r="AM439" s="536"/>
      <c r="AN439" s="536" t="s">
        <v>93</v>
      </c>
      <c r="AO439" s="547">
        <v>1</v>
      </c>
      <c r="AP439" s="536" t="s">
        <v>118</v>
      </c>
      <c r="AQ439" s="537">
        <v>50</v>
      </c>
      <c r="AR439" s="530"/>
    </row>
    <row r="440" spans="1:44" ht="32.25" customHeight="1">
      <c r="A440" s="1008">
        <v>228</v>
      </c>
      <c r="B440" s="1008">
        <v>2795039</v>
      </c>
      <c r="C440" s="1025" t="s">
        <v>356</v>
      </c>
      <c r="D440" s="1024">
        <v>1.96</v>
      </c>
      <c r="E440" s="1017">
        <v>10262</v>
      </c>
      <c r="F440" s="1018">
        <v>1.96</v>
      </c>
      <c r="G440" s="1017">
        <v>10262</v>
      </c>
      <c r="H440" s="1019" t="s">
        <v>60</v>
      </c>
      <c r="I440" s="1019" t="s">
        <v>540</v>
      </c>
      <c r="J440" s="1020" t="s">
        <v>114</v>
      </c>
      <c r="K440" s="558">
        <v>1.96</v>
      </c>
      <c r="L440" s="553" t="s">
        <v>17</v>
      </c>
      <c r="M440" s="1017">
        <v>12425.793299999999</v>
      </c>
      <c r="N440" s="538"/>
      <c r="O440" s="536"/>
      <c r="P440" s="536"/>
      <c r="Q440" s="547"/>
      <c r="R440" s="536"/>
      <c r="S440" s="725"/>
      <c r="T440" s="12"/>
      <c r="U440" s="536"/>
      <c r="V440" s="536"/>
      <c r="W440" s="547"/>
      <c r="X440" s="536"/>
      <c r="Y440" s="537"/>
      <c r="Z440" s="12"/>
      <c r="AA440" s="536"/>
      <c r="AB440" s="536"/>
      <c r="AC440" s="547"/>
      <c r="AD440" s="536"/>
      <c r="AE440" s="537"/>
      <c r="AF440" s="12"/>
      <c r="AG440" s="536"/>
      <c r="AH440" s="536"/>
      <c r="AI440" s="547"/>
      <c r="AJ440" s="536"/>
      <c r="AK440" s="538"/>
      <c r="AL440" s="12"/>
      <c r="AM440" s="536"/>
      <c r="AN440" s="536"/>
      <c r="AO440" s="547"/>
      <c r="AP440" s="536"/>
      <c r="AQ440" s="538"/>
      <c r="AR440" s="530"/>
    </row>
    <row r="441" spans="1:44" ht="32.25" customHeight="1">
      <c r="A441" s="1008"/>
      <c r="B441" s="1008"/>
      <c r="C441" s="1025"/>
      <c r="D441" s="1024"/>
      <c r="E441" s="1017"/>
      <c r="F441" s="1018"/>
      <c r="G441" s="1017"/>
      <c r="H441" s="1019"/>
      <c r="I441" s="1019"/>
      <c r="J441" s="1020"/>
      <c r="K441" s="51">
        <v>10260</v>
      </c>
      <c r="L441" s="43" t="s">
        <v>32</v>
      </c>
      <c r="M441" s="1017"/>
      <c r="N441" s="538"/>
      <c r="O441" s="536"/>
      <c r="P441" s="536"/>
      <c r="Q441" s="547"/>
      <c r="R441" s="536"/>
      <c r="S441" s="725"/>
      <c r="T441" s="12"/>
      <c r="U441" s="536"/>
      <c r="V441" s="536"/>
      <c r="W441" s="547"/>
      <c r="X441" s="536"/>
      <c r="Y441" s="537"/>
      <c r="Z441" s="12"/>
      <c r="AA441" s="536"/>
      <c r="AB441" s="536"/>
      <c r="AC441" s="547"/>
      <c r="AD441" s="536"/>
      <c r="AE441" s="537"/>
      <c r="AF441" s="12"/>
      <c r="AG441" s="536"/>
      <c r="AH441" s="536"/>
      <c r="AI441" s="547"/>
      <c r="AJ441" s="536"/>
      <c r="AK441" s="538"/>
      <c r="AL441" s="12"/>
      <c r="AM441" s="536"/>
      <c r="AN441" s="536"/>
      <c r="AO441" s="547"/>
      <c r="AP441" s="536"/>
      <c r="AQ441" s="538"/>
      <c r="AR441" s="530"/>
    </row>
    <row r="442" spans="1:44" ht="18.75">
      <c r="A442" s="1008">
        <v>229</v>
      </c>
      <c r="B442" s="1008">
        <v>736840</v>
      </c>
      <c r="C442" s="1025" t="s">
        <v>357</v>
      </c>
      <c r="D442" s="1024">
        <v>0.95</v>
      </c>
      <c r="E442" s="1017">
        <v>8988</v>
      </c>
      <c r="F442" s="1018">
        <v>0.95</v>
      </c>
      <c r="G442" s="1017">
        <v>8988</v>
      </c>
      <c r="H442" s="539"/>
      <c r="I442" s="312"/>
      <c r="J442" s="536"/>
      <c r="K442" s="42"/>
      <c r="L442" s="50"/>
      <c r="M442" s="537"/>
      <c r="N442" s="538"/>
      <c r="O442" s="536"/>
      <c r="P442" s="1020" t="s">
        <v>114</v>
      </c>
      <c r="Q442" s="558">
        <v>0.95</v>
      </c>
      <c r="R442" s="553" t="s">
        <v>17</v>
      </c>
      <c r="S442" s="1034">
        <v>11442.34</v>
      </c>
      <c r="T442" s="12"/>
      <c r="U442" s="536"/>
      <c r="V442" s="536"/>
      <c r="W442" s="547"/>
      <c r="X442" s="536"/>
      <c r="Y442" s="537"/>
      <c r="Z442" s="12"/>
      <c r="AA442" s="536"/>
      <c r="AB442" s="536"/>
      <c r="AC442" s="547"/>
      <c r="AD442" s="536"/>
      <c r="AE442" s="537"/>
      <c r="AF442" s="12"/>
      <c r="AG442" s="536"/>
      <c r="AH442" s="536"/>
      <c r="AI442" s="547"/>
      <c r="AJ442" s="536"/>
      <c r="AK442" s="538"/>
      <c r="AL442" s="12"/>
      <c r="AM442" s="536"/>
      <c r="AN442" s="536"/>
      <c r="AO442" s="547"/>
      <c r="AP442" s="536"/>
      <c r="AQ442" s="538"/>
      <c r="AR442" s="530"/>
    </row>
    <row r="443" spans="1:44" ht="18.75">
      <c r="A443" s="1008"/>
      <c r="B443" s="1008"/>
      <c r="C443" s="1025"/>
      <c r="D443" s="1024"/>
      <c r="E443" s="1017"/>
      <c r="F443" s="1018"/>
      <c r="G443" s="1017"/>
      <c r="H443" s="539"/>
      <c r="I443" s="312"/>
      <c r="J443" s="536"/>
      <c r="K443" s="42"/>
      <c r="L443" s="50"/>
      <c r="M443" s="537"/>
      <c r="N443" s="538"/>
      <c r="O443" s="536"/>
      <c r="P443" s="1020"/>
      <c r="Q443" s="51">
        <f>Q442*G442/F442</f>
        <v>8988</v>
      </c>
      <c r="R443" s="43" t="s">
        <v>32</v>
      </c>
      <c r="S443" s="1035"/>
      <c r="T443" s="12"/>
      <c r="U443" s="536"/>
      <c r="V443" s="536"/>
      <c r="W443" s="547"/>
      <c r="X443" s="536"/>
      <c r="Y443" s="537"/>
      <c r="Z443" s="12"/>
      <c r="AA443" s="536"/>
      <c r="AB443" s="536"/>
      <c r="AC443" s="547"/>
      <c r="AD443" s="536"/>
      <c r="AE443" s="537"/>
      <c r="AF443" s="12"/>
      <c r="AG443" s="536"/>
      <c r="AH443" s="536"/>
      <c r="AI443" s="547"/>
      <c r="AJ443" s="536"/>
      <c r="AK443" s="538"/>
      <c r="AL443" s="12"/>
      <c r="AM443" s="536"/>
      <c r="AN443" s="536"/>
      <c r="AO443" s="547"/>
      <c r="AP443" s="536"/>
      <c r="AQ443" s="538"/>
      <c r="AR443" s="530"/>
    </row>
    <row r="444" spans="1:44" ht="18.75">
      <c r="A444" s="1008">
        <v>230</v>
      </c>
      <c r="B444" s="1008">
        <v>739023</v>
      </c>
      <c r="C444" s="1025" t="s">
        <v>358</v>
      </c>
      <c r="D444" s="1024">
        <v>2.2330000000000001</v>
      </c>
      <c r="E444" s="1017">
        <v>19804</v>
      </c>
      <c r="F444" s="1018">
        <v>2.2330000000000001</v>
      </c>
      <c r="G444" s="1017">
        <v>19804</v>
      </c>
      <c r="H444" s="1019" t="s">
        <v>60</v>
      </c>
      <c r="I444" s="971" t="s">
        <v>2596</v>
      </c>
      <c r="J444" s="1020" t="s">
        <v>114</v>
      </c>
      <c r="K444" s="558">
        <v>1.1000000000000001</v>
      </c>
      <c r="L444" s="553" t="s">
        <v>17</v>
      </c>
      <c r="M444" s="1017">
        <v>13109.532520000001</v>
      </c>
      <c r="N444" s="538"/>
      <c r="O444" s="536"/>
      <c r="P444" s="1020" t="s">
        <v>114</v>
      </c>
      <c r="Q444" s="558">
        <v>0.84599999999999997</v>
      </c>
      <c r="R444" s="553" t="s">
        <v>17</v>
      </c>
      <c r="S444" s="1034">
        <v>9548.2199999999993</v>
      </c>
      <c r="T444" s="12"/>
      <c r="U444" s="536"/>
      <c r="V444" s="536"/>
      <c r="W444" s="547"/>
      <c r="X444" s="536"/>
      <c r="Y444" s="537"/>
      <c r="Z444" s="12"/>
      <c r="AA444" s="536"/>
      <c r="AB444" s="536"/>
      <c r="AC444" s="547"/>
      <c r="AD444" s="536"/>
      <c r="AE444" s="537"/>
      <c r="AF444" s="12"/>
      <c r="AG444" s="536"/>
      <c r="AH444" s="536"/>
      <c r="AI444" s="547"/>
      <c r="AJ444" s="536"/>
      <c r="AK444" s="538"/>
      <c r="AL444" s="12"/>
      <c r="AM444" s="536"/>
      <c r="AN444" s="536"/>
      <c r="AO444" s="547"/>
      <c r="AP444" s="536"/>
      <c r="AQ444" s="538"/>
      <c r="AR444" s="530"/>
    </row>
    <row r="445" spans="1:44" ht="18.75">
      <c r="A445" s="1008"/>
      <c r="B445" s="1008"/>
      <c r="C445" s="1025"/>
      <c r="D445" s="1024"/>
      <c r="E445" s="1017"/>
      <c r="F445" s="1018"/>
      <c r="G445" s="1017"/>
      <c r="H445" s="1019"/>
      <c r="I445" s="971"/>
      <c r="J445" s="1020"/>
      <c r="K445" s="51">
        <v>11030</v>
      </c>
      <c r="L445" s="43" t="s">
        <v>32</v>
      </c>
      <c r="M445" s="1017"/>
      <c r="N445" s="538"/>
      <c r="O445" s="536"/>
      <c r="P445" s="1020"/>
      <c r="Q445" s="51">
        <v>7500</v>
      </c>
      <c r="R445" s="43" t="s">
        <v>32</v>
      </c>
      <c r="S445" s="1035"/>
      <c r="T445" s="12"/>
      <c r="U445" s="536"/>
      <c r="V445" s="536"/>
      <c r="W445" s="547"/>
      <c r="X445" s="536"/>
      <c r="Y445" s="537"/>
      <c r="Z445" s="12"/>
      <c r="AA445" s="536"/>
      <c r="AB445" s="536"/>
      <c r="AC445" s="547"/>
      <c r="AD445" s="536"/>
      <c r="AE445" s="537"/>
      <c r="AF445" s="12"/>
      <c r="AG445" s="536"/>
      <c r="AH445" s="536"/>
      <c r="AI445" s="547"/>
      <c r="AJ445" s="536"/>
      <c r="AK445" s="538"/>
      <c r="AL445" s="12"/>
      <c r="AM445" s="536"/>
      <c r="AN445" s="536"/>
      <c r="AO445" s="547"/>
      <c r="AP445" s="536"/>
      <c r="AQ445" s="538"/>
      <c r="AR445" s="530"/>
    </row>
    <row r="446" spans="1:44" ht="56.25">
      <c r="A446" s="1008"/>
      <c r="B446" s="1008"/>
      <c r="C446" s="1025"/>
      <c r="D446" s="1024"/>
      <c r="E446" s="1017"/>
      <c r="F446" s="1018"/>
      <c r="G446" s="1017"/>
      <c r="H446" s="539" t="s">
        <v>2958</v>
      </c>
      <c r="I446" s="539" t="s">
        <v>2596</v>
      </c>
      <c r="J446" s="536" t="s">
        <v>49</v>
      </c>
      <c r="K446" s="51">
        <v>50</v>
      </c>
      <c r="L446" s="43" t="s">
        <v>186</v>
      </c>
      <c r="M446" s="537">
        <v>88.488849999999999</v>
      </c>
      <c r="N446" s="538"/>
      <c r="O446" s="536"/>
      <c r="P446" s="536"/>
      <c r="Q446" s="51"/>
      <c r="R446" s="43"/>
      <c r="S446" s="725"/>
      <c r="T446" s="12"/>
      <c r="U446" s="536"/>
      <c r="V446" s="536"/>
      <c r="W446" s="547"/>
      <c r="X446" s="536"/>
      <c r="Y446" s="537"/>
      <c r="Z446" s="12"/>
      <c r="AA446" s="536"/>
      <c r="AB446" s="536"/>
      <c r="AC446" s="547"/>
      <c r="AD446" s="536"/>
      <c r="AE446" s="537"/>
      <c r="AF446" s="12"/>
      <c r="AG446" s="536"/>
      <c r="AH446" s="536"/>
      <c r="AI446" s="547"/>
      <c r="AJ446" s="536"/>
      <c r="AK446" s="538"/>
      <c r="AL446" s="12"/>
      <c r="AM446" s="536"/>
      <c r="AN446" s="536"/>
      <c r="AO446" s="547"/>
      <c r="AP446" s="536"/>
      <c r="AQ446" s="538"/>
      <c r="AR446" s="530"/>
    </row>
    <row r="447" spans="1:44" ht="56.25">
      <c r="A447" s="536">
        <v>231</v>
      </c>
      <c r="B447" s="536">
        <v>742046</v>
      </c>
      <c r="C447" s="546" t="s">
        <v>359</v>
      </c>
      <c r="D447" s="547">
        <v>0.47</v>
      </c>
      <c r="E447" s="537">
        <v>3281</v>
      </c>
      <c r="F447" s="548">
        <v>0.47</v>
      </c>
      <c r="G447" s="537">
        <v>3281</v>
      </c>
      <c r="H447" s="536"/>
      <c r="I447" s="312"/>
      <c r="J447" s="536"/>
      <c r="K447" s="42"/>
      <c r="L447" s="50"/>
      <c r="M447" s="537"/>
      <c r="N447" s="538"/>
      <c r="O447" s="536"/>
      <c r="P447" s="536"/>
      <c r="Q447" s="547"/>
      <c r="R447" s="536"/>
      <c r="S447" s="725"/>
      <c r="T447" s="12"/>
      <c r="U447" s="536"/>
      <c r="V447" s="536"/>
      <c r="W447" s="547"/>
      <c r="X447" s="536"/>
      <c r="Y447" s="537"/>
      <c r="Z447" s="12"/>
      <c r="AA447" s="536"/>
      <c r="AB447" s="536"/>
      <c r="AC447" s="547"/>
      <c r="AD447" s="536"/>
      <c r="AE447" s="537"/>
      <c r="AF447" s="12"/>
      <c r="AG447" s="536"/>
      <c r="AH447" s="536" t="s">
        <v>93</v>
      </c>
      <c r="AI447" s="547">
        <v>1</v>
      </c>
      <c r="AJ447" s="536" t="s">
        <v>118</v>
      </c>
      <c r="AK447" s="537">
        <v>50</v>
      </c>
      <c r="AL447" s="12"/>
      <c r="AM447" s="536"/>
      <c r="AN447" s="536"/>
      <c r="AO447" s="547"/>
      <c r="AP447" s="536"/>
      <c r="AQ447" s="538"/>
      <c r="AR447" s="530"/>
    </row>
    <row r="448" spans="1:44" ht="51.75" customHeight="1">
      <c r="A448" s="1008">
        <v>232</v>
      </c>
      <c r="B448" s="1008">
        <v>740212</v>
      </c>
      <c r="C448" s="1025" t="s">
        <v>360</v>
      </c>
      <c r="D448" s="1024">
        <v>2.2999999999999998</v>
      </c>
      <c r="E448" s="1017">
        <v>26932</v>
      </c>
      <c r="F448" s="1018">
        <v>2.2999999999999998</v>
      </c>
      <c r="G448" s="1017">
        <v>26932</v>
      </c>
      <c r="H448" s="971" t="s">
        <v>60</v>
      </c>
      <c r="I448" s="971" t="s">
        <v>615</v>
      </c>
      <c r="J448" s="1020" t="s">
        <v>114</v>
      </c>
      <c r="K448" s="558">
        <v>2.2999999999999998</v>
      </c>
      <c r="L448" s="553" t="s">
        <v>17</v>
      </c>
      <c r="M448" s="1017">
        <v>31117.608619999999</v>
      </c>
      <c r="N448" s="538" t="s">
        <v>2839</v>
      </c>
      <c r="O448" s="538" t="s">
        <v>2840</v>
      </c>
      <c r="P448" s="536" t="s">
        <v>120</v>
      </c>
      <c r="Q448" s="547">
        <v>1</v>
      </c>
      <c r="R448" s="536" t="s">
        <v>118</v>
      </c>
      <c r="S448" s="725">
        <v>550</v>
      </c>
      <c r="T448" s="12"/>
      <c r="U448" s="536"/>
      <c r="V448" s="536"/>
      <c r="W448" s="547"/>
      <c r="X448" s="536"/>
      <c r="Y448" s="537"/>
      <c r="Z448" s="12"/>
      <c r="AA448" s="536"/>
      <c r="AB448" s="536"/>
      <c r="AC448" s="547"/>
      <c r="AD448" s="536"/>
      <c r="AE448" s="537"/>
      <c r="AF448" s="12"/>
      <c r="AG448" s="536"/>
      <c r="AH448" s="536"/>
      <c r="AI448" s="547"/>
      <c r="AJ448" s="536"/>
      <c r="AK448" s="538"/>
      <c r="AL448" s="12"/>
      <c r="AM448" s="536"/>
      <c r="AN448" s="536"/>
      <c r="AO448" s="547"/>
      <c r="AP448" s="536"/>
      <c r="AQ448" s="538"/>
      <c r="AR448" s="530"/>
    </row>
    <row r="449" spans="1:44" ht="56.25">
      <c r="A449" s="1008"/>
      <c r="B449" s="1008"/>
      <c r="C449" s="1025"/>
      <c r="D449" s="1024"/>
      <c r="E449" s="1017"/>
      <c r="F449" s="1018"/>
      <c r="G449" s="1017"/>
      <c r="H449" s="971"/>
      <c r="I449" s="971"/>
      <c r="J449" s="1020"/>
      <c r="K449" s="51">
        <v>25578</v>
      </c>
      <c r="L449" s="43" t="s">
        <v>32</v>
      </c>
      <c r="M449" s="1017"/>
      <c r="N449" s="538" t="s">
        <v>2841</v>
      </c>
      <c r="O449" s="538" t="s">
        <v>2842</v>
      </c>
      <c r="P449" s="536" t="s">
        <v>120</v>
      </c>
      <c r="Q449" s="547">
        <v>1</v>
      </c>
      <c r="R449" s="536" t="s">
        <v>118</v>
      </c>
      <c r="S449" s="725">
        <v>450</v>
      </c>
      <c r="T449" s="12"/>
      <c r="U449" s="536"/>
      <c r="V449" s="536"/>
      <c r="W449" s="547"/>
      <c r="X449" s="536"/>
      <c r="Y449" s="537"/>
      <c r="Z449" s="12"/>
      <c r="AA449" s="536"/>
      <c r="AB449" s="536"/>
      <c r="AC449" s="547"/>
      <c r="AD449" s="536"/>
      <c r="AE449" s="537"/>
      <c r="AF449" s="12"/>
      <c r="AG449" s="536"/>
      <c r="AH449" s="536"/>
      <c r="AI449" s="547"/>
      <c r="AJ449" s="536"/>
      <c r="AK449" s="538"/>
      <c r="AL449" s="12"/>
      <c r="AM449" s="536"/>
      <c r="AN449" s="536"/>
      <c r="AO449" s="547"/>
      <c r="AP449" s="536"/>
      <c r="AQ449" s="538"/>
      <c r="AR449" s="530"/>
    </row>
    <row r="450" spans="1:44" ht="18.75">
      <c r="A450" s="1008">
        <v>233</v>
      </c>
      <c r="B450" s="1008">
        <v>736814</v>
      </c>
      <c r="C450" s="1025" t="s">
        <v>361</v>
      </c>
      <c r="D450" s="1024">
        <v>1.1299999999999999</v>
      </c>
      <c r="E450" s="1017">
        <v>8650</v>
      </c>
      <c r="F450" s="1018">
        <v>1.1299999999999999</v>
      </c>
      <c r="G450" s="1017">
        <v>8650</v>
      </c>
      <c r="H450" s="1019" t="s">
        <v>60</v>
      </c>
      <c r="I450" s="971" t="s">
        <v>2760</v>
      </c>
      <c r="J450" s="1020" t="s">
        <v>114</v>
      </c>
      <c r="K450" s="558">
        <v>1.1299999999999999</v>
      </c>
      <c r="L450" s="553" t="s">
        <v>17</v>
      </c>
      <c r="M450" s="1017">
        <v>10669.596240000001</v>
      </c>
      <c r="N450" s="538"/>
      <c r="O450" s="536"/>
      <c r="P450" s="536"/>
      <c r="Q450" s="547"/>
      <c r="R450" s="536"/>
      <c r="S450" s="725"/>
      <c r="T450" s="12"/>
      <c r="U450" s="536"/>
      <c r="V450" s="536"/>
      <c r="W450" s="547"/>
      <c r="X450" s="536"/>
      <c r="Y450" s="537"/>
      <c r="Z450" s="12"/>
      <c r="AA450" s="536"/>
      <c r="AB450" s="536"/>
      <c r="AC450" s="547"/>
      <c r="AD450" s="536"/>
      <c r="AE450" s="537"/>
      <c r="AF450" s="12"/>
      <c r="AG450" s="536"/>
      <c r="AH450" s="536"/>
      <c r="AI450" s="547"/>
      <c r="AJ450" s="536"/>
      <c r="AK450" s="538"/>
      <c r="AL450" s="12"/>
      <c r="AM450" s="536"/>
      <c r="AN450" s="536"/>
      <c r="AO450" s="547"/>
      <c r="AP450" s="536"/>
      <c r="AQ450" s="538"/>
      <c r="AR450" s="530"/>
    </row>
    <row r="451" spans="1:44" ht="18.75">
      <c r="A451" s="1008"/>
      <c r="B451" s="1008"/>
      <c r="C451" s="1025"/>
      <c r="D451" s="1024"/>
      <c r="E451" s="1017"/>
      <c r="F451" s="1018"/>
      <c r="G451" s="1017"/>
      <c r="H451" s="1019"/>
      <c r="I451" s="971"/>
      <c r="J451" s="1020"/>
      <c r="K451" s="51">
        <v>8700</v>
      </c>
      <c r="L451" s="43" t="s">
        <v>32</v>
      </c>
      <c r="M451" s="1017"/>
      <c r="N451" s="538"/>
      <c r="O451" s="536"/>
      <c r="P451" s="536"/>
      <c r="Q451" s="547"/>
      <c r="R451" s="536"/>
      <c r="S451" s="725"/>
      <c r="T451" s="12"/>
      <c r="U451" s="536"/>
      <c r="V451" s="536"/>
      <c r="W451" s="547"/>
      <c r="X451" s="536"/>
      <c r="Y451" s="537"/>
      <c r="Z451" s="12"/>
      <c r="AA451" s="536"/>
      <c r="AB451" s="536"/>
      <c r="AC451" s="547"/>
      <c r="AD451" s="536"/>
      <c r="AE451" s="537"/>
      <c r="AF451" s="12"/>
      <c r="AG451" s="536"/>
      <c r="AH451" s="536"/>
      <c r="AI451" s="547"/>
      <c r="AJ451" s="536"/>
      <c r="AK451" s="538"/>
      <c r="AL451" s="12"/>
      <c r="AM451" s="536"/>
      <c r="AN451" s="536"/>
      <c r="AO451" s="547"/>
      <c r="AP451" s="536"/>
      <c r="AQ451" s="538"/>
      <c r="AR451" s="530"/>
    </row>
    <row r="452" spans="1:44" ht="56.25">
      <c r="A452" s="536">
        <v>234</v>
      </c>
      <c r="B452" s="536">
        <v>745175</v>
      </c>
      <c r="C452" s="546" t="s">
        <v>362</v>
      </c>
      <c r="D452" s="547">
        <v>0.46</v>
      </c>
      <c r="E452" s="537">
        <v>3644</v>
      </c>
      <c r="F452" s="548">
        <v>0.46</v>
      </c>
      <c r="G452" s="537">
        <v>3644</v>
      </c>
      <c r="H452" s="536"/>
      <c r="I452" s="312"/>
      <c r="J452" s="536"/>
      <c r="K452" s="42"/>
      <c r="L452" s="50"/>
      <c r="M452" s="537"/>
      <c r="N452" s="538"/>
      <c r="O452" s="536"/>
      <c r="P452" s="536"/>
      <c r="Q452" s="547"/>
      <c r="R452" s="536"/>
      <c r="S452" s="725"/>
      <c r="T452" s="12"/>
      <c r="U452" s="536"/>
      <c r="V452" s="536"/>
      <c r="W452" s="547"/>
      <c r="X452" s="536"/>
      <c r="Y452" s="537"/>
      <c r="Z452" s="12"/>
      <c r="AA452" s="536"/>
      <c r="AB452" s="536" t="s">
        <v>93</v>
      </c>
      <c r="AC452" s="547">
        <v>1</v>
      </c>
      <c r="AD452" s="536" t="s">
        <v>118</v>
      </c>
      <c r="AE452" s="537">
        <v>50</v>
      </c>
      <c r="AF452" s="12"/>
      <c r="AG452" s="536"/>
      <c r="AH452" s="536"/>
      <c r="AI452" s="547"/>
      <c r="AJ452" s="536"/>
      <c r="AK452" s="538"/>
      <c r="AL452" s="12"/>
      <c r="AM452" s="536"/>
      <c r="AN452" s="536"/>
      <c r="AO452" s="547"/>
      <c r="AP452" s="536"/>
      <c r="AQ452" s="538"/>
      <c r="AR452" s="530"/>
    </row>
    <row r="453" spans="1:44" ht="56.25">
      <c r="A453" s="1008">
        <v>235</v>
      </c>
      <c r="B453" s="1008">
        <v>738325</v>
      </c>
      <c r="C453" s="1025" t="s">
        <v>363</v>
      </c>
      <c r="D453" s="1024">
        <v>1.1000000000000001</v>
      </c>
      <c r="E453" s="1017">
        <v>7212</v>
      </c>
      <c r="F453" s="1018">
        <v>1.1000000000000001</v>
      </c>
      <c r="G453" s="1017">
        <v>7212</v>
      </c>
      <c r="H453" s="539"/>
      <c r="I453" s="312"/>
      <c r="J453" s="536"/>
      <c r="K453" s="42"/>
      <c r="L453" s="50"/>
      <c r="M453" s="537"/>
      <c r="N453" s="538"/>
      <c r="O453" s="536"/>
      <c r="P453" s="1008"/>
      <c r="Q453" s="558"/>
      <c r="R453" s="553"/>
      <c r="S453" s="1034"/>
      <c r="T453" s="12"/>
      <c r="U453" s="536"/>
      <c r="V453" s="536"/>
      <c r="W453" s="547"/>
      <c r="X453" s="536"/>
      <c r="Y453" s="537"/>
      <c r="Z453" s="12"/>
      <c r="AA453" s="536"/>
      <c r="AB453" s="536" t="s">
        <v>93</v>
      </c>
      <c r="AC453" s="547">
        <v>1</v>
      </c>
      <c r="AD453" s="536" t="s">
        <v>118</v>
      </c>
      <c r="AE453" s="537">
        <v>50</v>
      </c>
      <c r="AF453" s="12"/>
      <c r="AG453" s="536"/>
      <c r="AH453" s="536"/>
      <c r="AI453" s="547"/>
      <c r="AJ453" s="536"/>
      <c r="AK453" s="538"/>
      <c r="AL453" s="1031"/>
      <c r="AM453" s="1023"/>
      <c r="AN453" s="1042"/>
      <c r="AO453" s="547"/>
      <c r="AP453" s="553"/>
      <c r="AQ453" s="1027"/>
      <c r="AR453" s="530"/>
    </row>
    <row r="454" spans="1:44" ht="18.75">
      <c r="A454" s="1008"/>
      <c r="B454" s="1008"/>
      <c r="C454" s="1025"/>
      <c r="D454" s="1024"/>
      <c r="E454" s="1017"/>
      <c r="F454" s="1018"/>
      <c r="G454" s="1017"/>
      <c r="H454" s="539"/>
      <c r="I454" s="312"/>
      <c r="J454" s="536"/>
      <c r="K454" s="42"/>
      <c r="L454" s="50"/>
      <c r="M454" s="537"/>
      <c r="N454" s="538"/>
      <c r="O454" s="536"/>
      <c r="P454" s="1008"/>
      <c r="Q454" s="51"/>
      <c r="R454" s="43"/>
      <c r="S454" s="1035"/>
      <c r="T454" s="12"/>
      <c r="U454" s="536"/>
      <c r="V454" s="536"/>
      <c r="W454" s="547"/>
      <c r="X454" s="536"/>
      <c r="Y454" s="537"/>
      <c r="Z454" s="12"/>
      <c r="AA454" s="536"/>
      <c r="AB454" s="536"/>
      <c r="AC454" s="547"/>
      <c r="AD454" s="536"/>
      <c r="AE454" s="537"/>
      <c r="AF454" s="12"/>
      <c r="AG454" s="536"/>
      <c r="AH454" s="536"/>
      <c r="AI454" s="547"/>
      <c r="AJ454" s="536"/>
      <c r="AK454" s="537"/>
      <c r="AL454" s="1026"/>
      <c r="AM454" s="1026"/>
      <c r="AN454" s="1026"/>
      <c r="AO454" s="536"/>
      <c r="AP454" s="43"/>
      <c r="AQ454" s="1027"/>
      <c r="AR454" s="530"/>
    </row>
    <row r="455" spans="1:44" ht="56.25">
      <c r="A455" s="1008">
        <v>236</v>
      </c>
      <c r="B455" s="1008">
        <v>743076</v>
      </c>
      <c r="C455" s="1025" t="s">
        <v>364</v>
      </c>
      <c r="D455" s="1024">
        <v>0.64</v>
      </c>
      <c r="E455" s="1017">
        <v>7081</v>
      </c>
      <c r="F455" s="1018">
        <v>0.64</v>
      </c>
      <c r="G455" s="1017">
        <v>7081</v>
      </c>
      <c r="H455" s="539"/>
      <c r="I455" s="312"/>
      <c r="J455" s="536"/>
      <c r="K455" s="42"/>
      <c r="L455" s="50"/>
      <c r="M455" s="537"/>
      <c r="N455" s="538"/>
      <c r="O455" s="536"/>
      <c r="P455" s="536"/>
      <c r="Q455" s="547"/>
      <c r="R455" s="536"/>
      <c r="S455" s="725"/>
      <c r="T455" s="12"/>
      <c r="U455" s="536"/>
      <c r="V455" s="536"/>
      <c r="W455" s="547"/>
      <c r="X455" s="536"/>
      <c r="Y455" s="537"/>
      <c r="Z455" s="12"/>
      <c r="AA455" s="536"/>
      <c r="AB455" s="536"/>
      <c r="AC455" s="547"/>
      <c r="AD455" s="536"/>
      <c r="AE455" s="537"/>
      <c r="AF455" s="12"/>
      <c r="AG455" s="536"/>
      <c r="AH455" s="536" t="s">
        <v>93</v>
      </c>
      <c r="AI455" s="547">
        <v>1</v>
      </c>
      <c r="AJ455" s="536" t="s">
        <v>118</v>
      </c>
      <c r="AK455" s="537">
        <v>50</v>
      </c>
      <c r="AL455" s="1031"/>
      <c r="AM455" s="1023"/>
      <c r="AN455" s="1042"/>
      <c r="AO455" s="547"/>
      <c r="AP455" s="553"/>
      <c r="AQ455" s="1027"/>
      <c r="AR455" s="530"/>
    </row>
    <row r="456" spans="1:44" ht="18.75">
      <c r="A456" s="1008"/>
      <c r="B456" s="1008"/>
      <c r="C456" s="1025"/>
      <c r="D456" s="1024"/>
      <c r="E456" s="1017"/>
      <c r="F456" s="1018"/>
      <c r="G456" s="1017"/>
      <c r="H456" s="539"/>
      <c r="I456" s="312"/>
      <c r="J456" s="536"/>
      <c r="K456" s="42"/>
      <c r="L456" s="50"/>
      <c r="M456" s="537"/>
      <c r="N456" s="538"/>
      <c r="O456" s="536"/>
      <c r="P456" s="536"/>
      <c r="Q456" s="547"/>
      <c r="R456" s="536"/>
      <c r="S456" s="725"/>
      <c r="T456" s="12"/>
      <c r="U456" s="536"/>
      <c r="V456" s="536"/>
      <c r="W456" s="547"/>
      <c r="X456" s="536"/>
      <c r="Y456" s="537"/>
      <c r="Z456" s="12"/>
      <c r="AA456" s="536"/>
      <c r="AB456" s="536"/>
      <c r="AC456" s="547"/>
      <c r="AD456" s="536"/>
      <c r="AE456" s="537"/>
      <c r="AF456" s="12"/>
      <c r="AG456" s="536"/>
      <c r="AH456" s="536"/>
      <c r="AI456" s="547"/>
      <c r="AJ456" s="536"/>
      <c r="AK456" s="538"/>
      <c r="AL456" s="1026"/>
      <c r="AM456" s="1026"/>
      <c r="AN456" s="1026"/>
      <c r="AO456" s="536"/>
      <c r="AP456" s="43"/>
      <c r="AQ456" s="1027"/>
      <c r="AR456" s="530"/>
    </row>
    <row r="457" spans="1:44" ht="18.75">
      <c r="A457" s="1008">
        <v>237</v>
      </c>
      <c r="B457" s="1008">
        <v>740139</v>
      </c>
      <c r="C457" s="1025" t="s">
        <v>324</v>
      </c>
      <c r="D457" s="1024">
        <v>0.88</v>
      </c>
      <c r="E457" s="1017">
        <v>4404</v>
      </c>
      <c r="F457" s="1018">
        <v>0.88</v>
      </c>
      <c r="G457" s="1017">
        <v>4404</v>
      </c>
      <c r="H457" s="1019" t="s">
        <v>2761</v>
      </c>
      <c r="I457" s="971" t="s">
        <v>2762</v>
      </c>
      <c r="J457" s="1020" t="s">
        <v>114</v>
      </c>
      <c r="K457" s="558">
        <v>0.2</v>
      </c>
      <c r="L457" s="553" t="s">
        <v>17</v>
      </c>
      <c r="M457" s="1017">
        <v>2205.7578600000002</v>
      </c>
      <c r="N457" s="538"/>
      <c r="O457" s="536"/>
      <c r="P457" s="536"/>
      <c r="Q457" s="547"/>
      <c r="R457" s="536"/>
      <c r="S457" s="725"/>
      <c r="T457" s="12"/>
      <c r="U457" s="536"/>
      <c r="V457" s="536"/>
      <c r="W457" s="547"/>
      <c r="X457" s="536"/>
      <c r="Y457" s="537"/>
      <c r="Z457" s="12"/>
      <c r="AA457" s="536"/>
      <c r="AB457" s="536"/>
      <c r="AC457" s="547"/>
      <c r="AD457" s="536"/>
      <c r="AE457" s="537"/>
      <c r="AF457" s="12"/>
      <c r="AG457" s="536"/>
      <c r="AH457" s="536"/>
      <c r="AI457" s="547"/>
      <c r="AJ457" s="536"/>
      <c r="AK457" s="538"/>
      <c r="AL457" s="1031"/>
      <c r="AM457" s="1023"/>
      <c r="AN457" s="1042"/>
      <c r="AO457" s="547"/>
      <c r="AP457" s="553"/>
      <c r="AQ457" s="1027"/>
      <c r="AR457" s="530"/>
    </row>
    <row r="458" spans="1:44" ht="18.75">
      <c r="A458" s="1008"/>
      <c r="B458" s="1008"/>
      <c r="C458" s="1025"/>
      <c r="D458" s="1024"/>
      <c r="E458" s="1017"/>
      <c r="F458" s="1018"/>
      <c r="G458" s="1017"/>
      <c r="H458" s="1019"/>
      <c r="I458" s="971"/>
      <c r="J458" s="1020"/>
      <c r="K458" s="51">
        <v>1900</v>
      </c>
      <c r="L458" s="43" t="s">
        <v>32</v>
      </c>
      <c r="M458" s="1017"/>
      <c r="N458" s="538"/>
      <c r="O458" s="536"/>
      <c r="P458" s="536"/>
      <c r="Q458" s="547"/>
      <c r="R458" s="536"/>
      <c r="S458" s="725"/>
      <c r="T458" s="12"/>
      <c r="U458" s="536"/>
      <c r="V458" s="536"/>
      <c r="W458" s="547"/>
      <c r="X458" s="536"/>
      <c r="Y458" s="537"/>
      <c r="Z458" s="12"/>
      <c r="AA458" s="536"/>
      <c r="AB458" s="536"/>
      <c r="AC458" s="547"/>
      <c r="AD458" s="536"/>
      <c r="AE458" s="537"/>
      <c r="AF458" s="12"/>
      <c r="AG458" s="536"/>
      <c r="AH458" s="536"/>
      <c r="AI458" s="547"/>
      <c r="AJ458" s="536"/>
      <c r="AK458" s="538"/>
      <c r="AL458" s="1026"/>
      <c r="AM458" s="1026"/>
      <c r="AN458" s="1026"/>
      <c r="AO458" s="536"/>
      <c r="AP458" s="43"/>
      <c r="AQ458" s="1027"/>
      <c r="AR458" s="530"/>
    </row>
    <row r="459" spans="1:44" ht="56.25">
      <c r="A459" s="1008">
        <v>238</v>
      </c>
      <c r="B459" s="1008">
        <v>736045</v>
      </c>
      <c r="C459" s="1025" t="s">
        <v>365</v>
      </c>
      <c r="D459" s="1024">
        <v>2.0299999999999998</v>
      </c>
      <c r="E459" s="1017">
        <v>23142</v>
      </c>
      <c r="F459" s="1018">
        <v>2.0299999999999998</v>
      </c>
      <c r="G459" s="1017">
        <v>23142</v>
      </c>
      <c r="H459" s="536"/>
      <c r="I459" s="312"/>
      <c r="J459" s="536"/>
      <c r="K459" s="42"/>
      <c r="L459" s="50"/>
      <c r="M459" s="537"/>
      <c r="N459" s="538" t="s">
        <v>2910</v>
      </c>
      <c r="O459" s="538" t="s">
        <v>2910</v>
      </c>
      <c r="P459" s="536" t="s">
        <v>120</v>
      </c>
      <c r="Q459" s="547">
        <v>1</v>
      </c>
      <c r="R459" s="536" t="s">
        <v>118</v>
      </c>
      <c r="S459" s="725">
        <v>2500</v>
      </c>
      <c r="T459" s="12"/>
      <c r="U459" s="536"/>
      <c r="V459" s="536"/>
      <c r="W459" s="547"/>
      <c r="X459" s="536"/>
      <c r="Y459" s="537"/>
      <c r="Z459" s="971"/>
      <c r="AA459" s="971"/>
      <c r="AB459" s="1028"/>
      <c r="AC459" s="1029"/>
      <c r="AD459" s="1028"/>
      <c r="AE459" s="1033"/>
      <c r="AF459" s="12"/>
      <c r="AG459" s="536"/>
      <c r="AH459" s="536"/>
      <c r="AI459" s="547"/>
      <c r="AJ459" s="536"/>
      <c r="AK459" s="538"/>
      <c r="AL459" s="12"/>
      <c r="AM459" s="536"/>
      <c r="AN459" s="536"/>
      <c r="AO459" s="547"/>
      <c r="AP459" s="536"/>
      <c r="AQ459" s="538"/>
      <c r="AR459" s="530"/>
    </row>
    <row r="460" spans="1:44" ht="18.75">
      <c r="A460" s="1008"/>
      <c r="B460" s="1008"/>
      <c r="C460" s="1025"/>
      <c r="D460" s="1024"/>
      <c r="E460" s="1017"/>
      <c r="F460" s="1018"/>
      <c r="G460" s="1017"/>
      <c r="H460" s="536"/>
      <c r="I460" s="312"/>
      <c r="J460" s="536"/>
      <c r="K460" s="42"/>
      <c r="L460" s="50"/>
      <c r="M460" s="537"/>
      <c r="N460" s="318"/>
      <c r="O460" s="318"/>
      <c r="P460" s="536"/>
      <c r="Q460" s="547"/>
      <c r="R460" s="536"/>
      <c r="S460" s="725"/>
      <c r="T460" s="12"/>
      <c r="U460" s="536"/>
      <c r="V460" s="536"/>
      <c r="W460" s="547"/>
      <c r="X460" s="536"/>
      <c r="Y460" s="537"/>
      <c r="Z460" s="971"/>
      <c r="AA460" s="971"/>
      <c r="AB460" s="1028"/>
      <c r="AC460" s="1029"/>
      <c r="AD460" s="1028"/>
      <c r="AE460" s="1033"/>
      <c r="AF460" s="12"/>
      <c r="AG460" s="536"/>
      <c r="AH460" s="536"/>
      <c r="AI460" s="547"/>
      <c r="AJ460" s="536"/>
      <c r="AK460" s="538"/>
      <c r="AL460" s="12"/>
      <c r="AM460" s="536"/>
      <c r="AN460" s="536"/>
      <c r="AO460" s="547"/>
      <c r="AP460" s="536"/>
      <c r="AQ460" s="538"/>
      <c r="AR460" s="530"/>
    </row>
    <row r="461" spans="1:44" ht="18.75">
      <c r="A461" s="1008">
        <v>239</v>
      </c>
      <c r="B461" s="1008">
        <v>736045</v>
      </c>
      <c r="C461" s="1025" t="s">
        <v>366</v>
      </c>
      <c r="D461" s="1024">
        <v>0.8</v>
      </c>
      <c r="E461" s="1017">
        <v>8610</v>
      </c>
      <c r="F461" s="1018">
        <v>0.8</v>
      </c>
      <c r="G461" s="1017">
        <v>8610</v>
      </c>
      <c r="H461" s="1019" t="s">
        <v>60</v>
      </c>
      <c r="I461" s="971" t="s">
        <v>2706</v>
      </c>
      <c r="J461" s="1020" t="s">
        <v>114</v>
      </c>
      <c r="K461" s="558">
        <v>0.8</v>
      </c>
      <c r="L461" s="553" t="s">
        <v>17</v>
      </c>
      <c r="M461" s="1017">
        <v>6988.39876</v>
      </c>
      <c r="N461" s="49"/>
      <c r="O461" s="49"/>
      <c r="P461" s="536"/>
      <c r="Q461" s="47"/>
      <c r="R461" s="50"/>
      <c r="S461" s="725"/>
      <c r="T461" s="1019"/>
      <c r="U461" s="1019"/>
      <c r="V461" s="536"/>
      <c r="W461" s="47"/>
      <c r="X461" s="50"/>
      <c r="Y461" s="537"/>
      <c r="Z461" s="12"/>
      <c r="AA461" s="536"/>
      <c r="AB461" s="536"/>
      <c r="AC461" s="547"/>
      <c r="AD461" s="536"/>
      <c r="AE461" s="537"/>
      <c r="AF461" s="1031"/>
      <c r="AG461" s="1023"/>
      <c r="AH461" s="1023"/>
      <c r="AI461" s="547"/>
      <c r="AJ461" s="553"/>
      <c r="AK461" s="1027"/>
      <c r="AL461" s="12"/>
      <c r="AM461" s="536"/>
      <c r="AN461" s="536"/>
      <c r="AO461" s="547"/>
      <c r="AP461" s="536"/>
      <c r="AQ461" s="538"/>
      <c r="AR461" s="530"/>
    </row>
    <row r="462" spans="1:44" ht="18.75">
      <c r="A462" s="1008"/>
      <c r="B462" s="1008"/>
      <c r="C462" s="1025"/>
      <c r="D462" s="1024"/>
      <c r="E462" s="1017"/>
      <c r="F462" s="1018"/>
      <c r="G462" s="1017"/>
      <c r="H462" s="1019"/>
      <c r="I462" s="971"/>
      <c r="J462" s="1020"/>
      <c r="K462" s="51">
        <v>5646.37</v>
      </c>
      <c r="L462" s="43" t="s">
        <v>32</v>
      </c>
      <c r="M462" s="1017"/>
      <c r="N462" s="538"/>
      <c r="O462" s="536"/>
      <c r="P462" s="536"/>
      <c r="Q462" s="547"/>
      <c r="R462" s="536"/>
      <c r="S462" s="725"/>
      <c r="T462" s="12"/>
      <c r="U462" s="536"/>
      <c r="V462" s="536"/>
      <c r="W462" s="547"/>
      <c r="X462" s="536"/>
      <c r="Y462" s="537"/>
      <c r="Z462" s="12"/>
      <c r="AA462" s="536"/>
      <c r="AB462" s="536"/>
      <c r="AC462" s="547"/>
      <c r="AD462" s="536"/>
      <c r="AE462" s="537"/>
      <c r="AF462" s="1026"/>
      <c r="AG462" s="1026"/>
      <c r="AH462" s="1026"/>
      <c r="AI462" s="536"/>
      <c r="AJ462" s="43"/>
      <c r="AK462" s="1027"/>
      <c r="AL462" s="12"/>
      <c r="AM462" s="536"/>
      <c r="AN462" s="536"/>
      <c r="AO462" s="547"/>
      <c r="AP462" s="536"/>
      <c r="AQ462" s="538"/>
      <c r="AR462" s="530"/>
    </row>
    <row r="463" spans="1:44" ht="18.75">
      <c r="A463" s="536">
        <v>240</v>
      </c>
      <c r="B463" s="536">
        <v>738671</v>
      </c>
      <c r="C463" s="546" t="s">
        <v>367</v>
      </c>
      <c r="D463" s="547">
        <v>0.32</v>
      </c>
      <c r="E463" s="537">
        <v>1348</v>
      </c>
      <c r="F463" s="548">
        <v>0.32</v>
      </c>
      <c r="G463" s="537">
        <v>1348</v>
      </c>
      <c r="H463" s="536"/>
      <c r="I463" s="312"/>
      <c r="J463" s="536"/>
      <c r="K463" s="42"/>
      <c r="L463" s="50"/>
      <c r="M463" s="537"/>
      <c r="N463" s="538"/>
      <c r="O463" s="536"/>
      <c r="P463" s="536"/>
      <c r="Q463" s="547"/>
      <c r="R463" s="536"/>
      <c r="S463" s="725"/>
      <c r="T463" s="12"/>
      <c r="U463" s="536"/>
      <c r="V463" s="536"/>
      <c r="W463" s="547"/>
      <c r="X463" s="536"/>
      <c r="Y463" s="537"/>
      <c r="Z463" s="12"/>
      <c r="AA463" s="536"/>
      <c r="AB463" s="536"/>
      <c r="AC463" s="547"/>
      <c r="AD463" s="536"/>
      <c r="AE463" s="537"/>
      <c r="AF463" s="12"/>
      <c r="AG463" s="536"/>
      <c r="AH463" s="536"/>
      <c r="AI463" s="547"/>
      <c r="AJ463" s="536"/>
      <c r="AK463" s="538"/>
      <c r="AL463" s="12"/>
      <c r="AM463" s="536"/>
      <c r="AN463" s="536"/>
      <c r="AO463" s="547"/>
      <c r="AP463" s="536"/>
      <c r="AQ463" s="538"/>
      <c r="AR463" s="530"/>
    </row>
    <row r="464" spans="1:44" ht="18.75">
      <c r="A464" s="1008">
        <v>241</v>
      </c>
      <c r="B464" s="1008">
        <v>749698</v>
      </c>
      <c r="C464" s="1025" t="s">
        <v>368</v>
      </c>
      <c r="D464" s="1024">
        <v>0.44</v>
      </c>
      <c r="E464" s="1017">
        <v>5879</v>
      </c>
      <c r="F464" s="1018">
        <v>0.44</v>
      </c>
      <c r="G464" s="1017">
        <v>5879</v>
      </c>
      <c r="H464" s="1019" t="s">
        <v>60</v>
      </c>
      <c r="I464" s="971" t="s">
        <v>2714</v>
      </c>
      <c r="J464" s="1020" t="s">
        <v>114</v>
      </c>
      <c r="K464" s="558">
        <v>0.17</v>
      </c>
      <c r="L464" s="553" t="s">
        <v>17</v>
      </c>
      <c r="M464" s="1017">
        <v>2558.48866</v>
      </c>
      <c r="N464" s="318"/>
      <c r="O464" s="549"/>
      <c r="P464" s="1008"/>
      <c r="Q464" s="547"/>
      <c r="R464" s="553"/>
      <c r="S464" s="1034"/>
      <c r="T464" s="12"/>
      <c r="U464" s="536"/>
      <c r="V464" s="536"/>
      <c r="W464" s="547"/>
      <c r="X464" s="536"/>
      <c r="Y464" s="537"/>
      <c r="Z464" s="12"/>
      <c r="AA464" s="536"/>
      <c r="AB464" s="536"/>
      <c r="AC464" s="547"/>
      <c r="AD464" s="536"/>
      <c r="AE464" s="537"/>
      <c r="AF464" s="12"/>
      <c r="AG464" s="536"/>
      <c r="AH464" s="536"/>
      <c r="AI464" s="547"/>
      <c r="AJ464" s="536"/>
      <c r="AK464" s="538"/>
      <c r="AL464" s="12"/>
      <c r="AM464" s="536"/>
      <c r="AN464" s="536"/>
      <c r="AO464" s="547"/>
      <c r="AP464" s="536"/>
      <c r="AQ464" s="538"/>
      <c r="AR464" s="530"/>
    </row>
    <row r="465" spans="1:44" ht="18.75">
      <c r="A465" s="1008"/>
      <c r="B465" s="1008"/>
      <c r="C465" s="1025"/>
      <c r="D465" s="1024"/>
      <c r="E465" s="1017"/>
      <c r="F465" s="1018"/>
      <c r="G465" s="1017"/>
      <c r="H465" s="1019"/>
      <c r="I465" s="971"/>
      <c r="J465" s="1020"/>
      <c r="K465" s="51">
        <v>2200</v>
      </c>
      <c r="L465" s="43" t="s">
        <v>32</v>
      </c>
      <c r="M465" s="1017"/>
      <c r="N465" s="318"/>
      <c r="O465" s="549"/>
      <c r="P465" s="1008"/>
      <c r="Q465" s="539"/>
      <c r="R465" s="43"/>
      <c r="S465" s="1035"/>
      <c r="T465" s="12"/>
      <c r="U465" s="536"/>
      <c r="V465" s="536"/>
      <c r="W465" s="547"/>
      <c r="X465" s="536"/>
      <c r="Y465" s="537"/>
      <c r="Z465" s="12"/>
      <c r="AA465" s="536"/>
      <c r="AB465" s="536"/>
      <c r="AC465" s="547"/>
      <c r="AD465" s="536"/>
      <c r="AE465" s="537"/>
      <c r="AF465" s="12"/>
      <c r="AG465" s="536"/>
      <c r="AH465" s="536"/>
      <c r="AI465" s="547"/>
      <c r="AJ465" s="536"/>
      <c r="AK465" s="538"/>
      <c r="AL465" s="12"/>
      <c r="AM465" s="536"/>
      <c r="AN465" s="536"/>
      <c r="AO465" s="547"/>
      <c r="AP465" s="536"/>
      <c r="AQ465" s="538"/>
      <c r="AR465" s="530"/>
    </row>
    <row r="466" spans="1:44" ht="56.25">
      <c r="A466" s="536">
        <v>242</v>
      </c>
      <c r="B466" s="536">
        <v>736732</v>
      </c>
      <c r="C466" s="546" t="s">
        <v>313</v>
      </c>
      <c r="D466" s="547">
        <v>4.68</v>
      </c>
      <c r="E466" s="537">
        <v>32800</v>
      </c>
      <c r="F466" s="548">
        <v>4.68</v>
      </c>
      <c r="G466" s="537">
        <v>32800</v>
      </c>
      <c r="H466" s="536"/>
      <c r="I466" s="312"/>
      <c r="J466" s="536"/>
      <c r="K466" s="42"/>
      <c r="L466" s="50"/>
      <c r="M466" s="537"/>
      <c r="N466" s="538"/>
      <c r="O466" s="536"/>
      <c r="P466" s="536"/>
      <c r="Q466" s="547"/>
      <c r="R466" s="536"/>
      <c r="S466" s="725"/>
      <c r="T466" s="12"/>
      <c r="U466" s="536"/>
      <c r="V466" s="536"/>
      <c r="W466" s="547"/>
      <c r="X466" s="536"/>
      <c r="Y466" s="537"/>
      <c r="Z466" s="1032"/>
      <c r="AA466" s="1032"/>
      <c r="AB466" s="555"/>
      <c r="AC466" s="556"/>
      <c r="AD466" s="555"/>
      <c r="AE466" s="557"/>
      <c r="AF466" s="12"/>
      <c r="AG466" s="536"/>
      <c r="AH466" s="536"/>
      <c r="AI466" s="547"/>
      <c r="AJ466" s="536"/>
      <c r="AK466" s="538"/>
      <c r="AL466" s="12"/>
      <c r="AM466" s="536"/>
      <c r="AN466" s="536" t="s">
        <v>93</v>
      </c>
      <c r="AO466" s="547">
        <v>1</v>
      </c>
      <c r="AP466" s="536" t="s">
        <v>118</v>
      </c>
      <c r="AQ466" s="537">
        <v>50</v>
      </c>
      <c r="AR466" s="530"/>
    </row>
    <row r="467" spans="1:44" ht="18.75">
      <c r="A467" s="1008">
        <v>243</v>
      </c>
      <c r="B467" s="1008">
        <v>734689</v>
      </c>
      <c r="C467" s="1025" t="s">
        <v>369</v>
      </c>
      <c r="D467" s="1024">
        <v>0.52</v>
      </c>
      <c r="E467" s="1017">
        <v>4151</v>
      </c>
      <c r="F467" s="1018">
        <v>0.52</v>
      </c>
      <c r="G467" s="1017">
        <v>4151</v>
      </c>
      <c r="H467" s="539"/>
      <c r="I467" s="312"/>
      <c r="J467" s="536"/>
      <c r="K467" s="42"/>
      <c r="L467" s="50"/>
      <c r="M467" s="537"/>
      <c r="N467" s="538"/>
      <c r="O467" s="536"/>
      <c r="P467" s="536"/>
      <c r="Q467" s="547"/>
      <c r="R467" s="536"/>
      <c r="S467" s="725"/>
      <c r="T467" s="12"/>
      <c r="U467" s="536"/>
      <c r="V467" s="536"/>
      <c r="W467" s="547"/>
      <c r="X467" s="536"/>
      <c r="Y467" s="537"/>
      <c r="Z467" s="1031" t="s">
        <v>60</v>
      </c>
      <c r="AA467" s="1023" t="s">
        <v>2935</v>
      </c>
      <c r="AB467" s="1020" t="s">
        <v>114</v>
      </c>
      <c r="AC467" s="547">
        <f>IF(E467="","",D467/E467*AC468)</f>
        <v>0.52</v>
      </c>
      <c r="AD467" s="553" t="s">
        <v>17</v>
      </c>
      <c r="AE467" s="1050">
        <v>5000</v>
      </c>
      <c r="AF467" s="12"/>
      <c r="AG467" s="536"/>
      <c r="AH467" s="536"/>
      <c r="AI467" s="547"/>
      <c r="AJ467" s="536"/>
      <c r="AK467" s="538"/>
      <c r="AL467" s="12"/>
      <c r="AM467" s="536"/>
      <c r="AN467" s="536"/>
      <c r="AO467" s="547"/>
      <c r="AP467" s="536"/>
      <c r="AQ467" s="538"/>
      <c r="AR467" s="530"/>
    </row>
    <row r="468" spans="1:44" ht="18.75">
      <c r="A468" s="1008"/>
      <c r="B468" s="1008"/>
      <c r="C468" s="1025"/>
      <c r="D468" s="1024"/>
      <c r="E468" s="1017"/>
      <c r="F468" s="1018"/>
      <c r="G468" s="1017"/>
      <c r="H468" s="539"/>
      <c r="I468" s="312"/>
      <c r="J468" s="536"/>
      <c r="K468" s="42"/>
      <c r="L468" s="50"/>
      <c r="M468" s="537"/>
      <c r="N468" s="538"/>
      <c r="O468" s="536"/>
      <c r="P468" s="536"/>
      <c r="Q468" s="547"/>
      <c r="R468" s="536"/>
      <c r="S468" s="725"/>
      <c r="T468" s="12"/>
      <c r="U468" s="536"/>
      <c r="V468" s="536"/>
      <c r="W468" s="547"/>
      <c r="X468" s="536"/>
      <c r="Y468" s="537"/>
      <c r="Z468" s="1026"/>
      <c r="AA468" s="1026"/>
      <c r="AB468" s="1020"/>
      <c r="AC468" s="536">
        <v>4151</v>
      </c>
      <c r="AD468" s="43" t="s">
        <v>32</v>
      </c>
      <c r="AE468" s="1050"/>
      <c r="AF468" s="12"/>
      <c r="AG468" s="536"/>
      <c r="AH468" s="536"/>
      <c r="AI468" s="547"/>
      <c r="AJ468" s="536"/>
      <c r="AK468" s="538"/>
      <c r="AL468" s="12"/>
      <c r="AM468" s="536"/>
      <c r="AN468" s="536"/>
      <c r="AO468" s="547"/>
      <c r="AP468" s="536"/>
      <c r="AQ468" s="538"/>
      <c r="AR468" s="530"/>
    </row>
    <row r="469" spans="1:44" ht="39" customHeight="1">
      <c r="A469" s="1008">
        <v>244</v>
      </c>
      <c r="B469" s="1008">
        <v>749705</v>
      </c>
      <c r="C469" s="1025" t="s">
        <v>370</v>
      </c>
      <c r="D469" s="1024">
        <v>3.44</v>
      </c>
      <c r="E469" s="1017">
        <v>32354</v>
      </c>
      <c r="F469" s="1018">
        <v>3.44</v>
      </c>
      <c r="G469" s="1017">
        <v>32354</v>
      </c>
      <c r="H469" s="1019" t="s">
        <v>60</v>
      </c>
      <c r="I469" s="1019" t="s">
        <v>2763</v>
      </c>
      <c r="J469" s="1020" t="s">
        <v>114</v>
      </c>
      <c r="K469" s="558">
        <v>2.2000000000000002</v>
      </c>
      <c r="L469" s="553" t="s">
        <v>17</v>
      </c>
      <c r="M469" s="1017">
        <v>37247.888619999998</v>
      </c>
      <c r="N469" s="538"/>
      <c r="O469" s="536"/>
      <c r="P469" s="536"/>
      <c r="Q469" s="547"/>
      <c r="R469" s="536"/>
      <c r="S469" s="725"/>
      <c r="T469" s="12"/>
      <c r="U469" s="536"/>
      <c r="V469" s="536"/>
      <c r="W469" s="547"/>
      <c r="X469" s="536"/>
      <c r="Y469" s="537"/>
      <c r="Z469" s="1031"/>
      <c r="AA469" s="1023"/>
      <c r="AB469" s="1023"/>
      <c r="AC469" s="547"/>
      <c r="AD469" s="553"/>
      <c r="AE469" s="1050"/>
      <c r="AF469" s="12"/>
      <c r="AG469" s="536"/>
      <c r="AH469" s="536"/>
      <c r="AI469" s="547"/>
      <c r="AJ469" s="536"/>
      <c r="AK469" s="538"/>
      <c r="AL469" s="12"/>
      <c r="AM469" s="536"/>
      <c r="AN469" s="536"/>
      <c r="AO469" s="547"/>
      <c r="AP469" s="536"/>
      <c r="AQ469" s="538"/>
      <c r="AR469" s="530"/>
    </row>
    <row r="470" spans="1:44" ht="39" customHeight="1">
      <c r="A470" s="1008"/>
      <c r="B470" s="1008"/>
      <c r="C470" s="1025"/>
      <c r="D470" s="1024"/>
      <c r="E470" s="1017"/>
      <c r="F470" s="1018"/>
      <c r="G470" s="1017"/>
      <c r="H470" s="1019"/>
      <c r="I470" s="1019"/>
      <c r="J470" s="1020"/>
      <c r="K470" s="51">
        <v>32347</v>
      </c>
      <c r="L470" s="43" t="s">
        <v>32</v>
      </c>
      <c r="M470" s="1017"/>
      <c r="N470" s="538"/>
      <c r="O470" s="536"/>
      <c r="P470" s="536"/>
      <c r="Q470" s="547"/>
      <c r="R470" s="536"/>
      <c r="S470" s="725"/>
      <c r="T470" s="12"/>
      <c r="U470" s="536"/>
      <c r="V470" s="536"/>
      <c r="W470" s="547"/>
      <c r="X470" s="536"/>
      <c r="Y470" s="537"/>
      <c r="Z470" s="1026"/>
      <c r="AA470" s="1026"/>
      <c r="AB470" s="1026"/>
      <c r="AC470" s="536"/>
      <c r="AD470" s="43"/>
      <c r="AE470" s="1050"/>
      <c r="AF470" s="12"/>
      <c r="AG470" s="536"/>
      <c r="AH470" s="536"/>
      <c r="AI470" s="547"/>
      <c r="AJ470" s="536"/>
      <c r="AK470" s="538"/>
      <c r="AL470" s="12"/>
      <c r="AM470" s="536"/>
      <c r="AN470" s="536"/>
      <c r="AO470" s="547"/>
      <c r="AP470" s="536"/>
      <c r="AQ470" s="538"/>
      <c r="AR470" s="530"/>
    </row>
    <row r="471" spans="1:44" ht="58.5" customHeight="1">
      <c r="A471" s="1008"/>
      <c r="B471" s="1008"/>
      <c r="C471" s="1025"/>
      <c r="D471" s="1056"/>
      <c r="E471" s="1057"/>
      <c r="F471" s="1058"/>
      <c r="G471" s="1057"/>
      <c r="H471" s="539" t="s">
        <v>60</v>
      </c>
      <c r="I471" s="539" t="s">
        <v>2763</v>
      </c>
      <c r="J471" s="536" t="s">
        <v>49</v>
      </c>
      <c r="K471" s="51">
        <v>100</v>
      </c>
      <c r="L471" s="43" t="s">
        <v>186</v>
      </c>
      <c r="M471" s="537">
        <v>191.74681000000001</v>
      </c>
      <c r="N471" s="538"/>
      <c r="O471" s="536"/>
      <c r="P471" s="536"/>
      <c r="Q471" s="547"/>
      <c r="R471" s="536"/>
      <c r="S471" s="725"/>
      <c r="T471" s="12"/>
      <c r="U471" s="536"/>
      <c r="V471" s="536"/>
      <c r="W471" s="547"/>
      <c r="X471" s="536"/>
      <c r="Y471" s="537"/>
      <c r="Z471" s="550"/>
      <c r="AA471" s="550"/>
      <c r="AB471" s="550"/>
      <c r="AC471" s="536"/>
      <c r="AD471" s="43"/>
      <c r="AE471" s="320"/>
      <c r="AF471" s="12"/>
      <c r="AG471" s="536"/>
      <c r="AH471" s="536"/>
      <c r="AI471" s="547"/>
      <c r="AJ471" s="536"/>
      <c r="AK471" s="538"/>
      <c r="AL471" s="12"/>
      <c r="AM471" s="536"/>
      <c r="AN471" s="536"/>
      <c r="AO471" s="547"/>
      <c r="AP471" s="536"/>
      <c r="AQ471" s="538"/>
      <c r="AR471" s="530"/>
    </row>
    <row r="472" spans="1:44" ht="56.25">
      <c r="A472" s="1008">
        <v>245</v>
      </c>
      <c r="B472" s="1008">
        <v>749483</v>
      </c>
      <c r="C472" s="1025" t="s">
        <v>371</v>
      </c>
      <c r="D472" s="1024">
        <v>1.23</v>
      </c>
      <c r="E472" s="1017">
        <v>8234</v>
      </c>
      <c r="F472" s="1018">
        <v>1.23</v>
      </c>
      <c r="G472" s="1017">
        <v>8234</v>
      </c>
      <c r="H472" s="539"/>
      <c r="I472" s="312"/>
      <c r="J472" s="536"/>
      <c r="K472" s="42"/>
      <c r="L472" s="50"/>
      <c r="M472" s="537"/>
      <c r="N472" s="318"/>
      <c r="O472" s="549"/>
      <c r="P472" s="1008"/>
      <c r="Q472" s="547"/>
      <c r="R472" s="553"/>
      <c r="S472" s="1034"/>
      <c r="T472" s="12"/>
      <c r="U472" s="536"/>
      <c r="V472" s="536"/>
      <c r="W472" s="547"/>
      <c r="X472" s="536"/>
      <c r="Y472" s="537"/>
      <c r="Z472" s="12"/>
      <c r="AA472" s="536"/>
      <c r="AB472" s="536"/>
      <c r="AC472" s="547"/>
      <c r="AD472" s="536"/>
      <c r="AE472" s="537"/>
      <c r="AF472" s="12"/>
      <c r="AG472" s="536"/>
      <c r="AH472" s="536"/>
      <c r="AI472" s="547"/>
      <c r="AJ472" s="536"/>
      <c r="AK472" s="538"/>
      <c r="AL472" s="12"/>
      <c r="AM472" s="536"/>
      <c r="AN472" s="536" t="s">
        <v>93</v>
      </c>
      <c r="AO472" s="547">
        <v>1</v>
      </c>
      <c r="AP472" s="536" t="s">
        <v>118</v>
      </c>
      <c r="AQ472" s="537">
        <v>50</v>
      </c>
      <c r="AR472" s="530"/>
    </row>
    <row r="473" spans="1:44" ht="18.75">
      <c r="A473" s="1008"/>
      <c r="B473" s="1008"/>
      <c r="C473" s="1025"/>
      <c r="D473" s="1024"/>
      <c r="E473" s="1017"/>
      <c r="F473" s="1018"/>
      <c r="G473" s="1017"/>
      <c r="H473" s="539"/>
      <c r="I473" s="312"/>
      <c r="J473" s="536"/>
      <c r="K473" s="25"/>
      <c r="L473" s="50"/>
      <c r="M473" s="537"/>
      <c r="N473" s="318"/>
      <c r="O473" s="549"/>
      <c r="P473" s="1008"/>
      <c r="Q473" s="539"/>
      <c r="R473" s="43"/>
      <c r="S473" s="1035"/>
      <c r="T473" s="12"/>
      <c r="U473" s="536"/>
      <c r="V473" s="536"/>
      <c r="W473" s="547"/>
      <c r="X473" s="536"/>
      <c r="Y473" s="537"/>
      <c r="Z473" s="12"/>
      <c r="AA473" s="536"/>
      <c r="AB473" s="536"/>
      <c r="AC473" s="547"/>
      <c r="AD473" s="536"/>
      <c r="AE473" s="537"/>
      <c r="AF473" s="12"/>
      <c r="AG473" s="536"/>
      <c r="AH473" s="536"/>
      <c r="AI473" s="547"/>
      <c r="AJ473" s="536"/>
      <c r="AK473" s="538"/>
      <c r="AL473" s="12"/>
      <c r="AM473" s="536"/>
      <c r="AN473" s="536"/>
      <c r="AO473" s="547"/>
      <c r="AP473" s="536"/>
      <c r="AQ473" s="538"/>
      <c r="AR473" s="530"/>
    </row>
    <row r="474" spans="1:44" ht="56.25">
      <c r="A474" s="1008">
        <v>246</v>
      </c>
      <c r="B474" s="1008">
        <v>745016</v>
      </c>
      <c r="C474" s="1025" t="s">
        <v>372</v>
      </c>
      <c r="D474" s="1024">
        <v>1.2</v>
      </c>
      <c r="E474" s="1017">
        <v>8420</v>
      </c>
      <c r="F474" s="1018">
        <v>1.2</v>
      </c>
      <c r="G474" s="1017">
        <v>8420</v>
      </c>
      <c r="H474" s="539"/>
      <c r="I474" s="312"/>
      <c r="J474" s="536"/>
      <c r="K474" s="42"/>
      <c r="L474" s="50"/>
      <c r="M474" s="653"/>
      <c r="N474" s="318"/>
      <c r="O474" s="549"/>
      <c r="P474" s="1008"/>
      <c r="Q474" s="547"/>
      <c r="R474" s="553"/>
      <c r="S474" s="1034"/>
      <c r="T474" s="12"/>
      <c r="U474" s="536"/>
      <c r="V474" s="536"/>
      <c r="W474" s="547"/>
      <c r="X474" s="536"/>
      <c r="Y474" s="537"/>
      <c r="Z474" s="1031"/>
      <c r="AA474" s="1023"/>
      <c r="AB474" s="1023"/>
      <c r="AC474" s="547"/>
      <c r="AD474" s="553"/>
      <c r="AE474" s="1050"/>
      <c r="AF474" s="12"/>
      <c r="AG474" s="536"/>
      <c r="AH474" s="536"/>
      <c r="AI474" s="547"/>
      <c r="AJ474" s="536"/>
      <c r="AK474" s="538"/>
      <c r="AL474" s="12"/>
      <c r="AM474" s="536"/>
      <c r="AN474" s="536" t="s">
        <v>93</v>
      </c>
      <c r="AO474" s="547">
        <v>1</v>
      </c>
      <c r="AP474" s="536" t="s">
        <v>118</v>
      </c>
      <c r="AQ474" s="537">
        <v>50</v>
      </c>
      <c r="AR474" s="530"/>
    </row>
    <row r="475" spans="1:44" ht="18.75">
      <c r="A475" s="1008"/>
      <c r="B475" s="1008"/>
      <c r="C475" s="1025"/>
      <c r="D475" s="1024"/>
      <c r="E475" s="1017"/>
      <c r="F475" s="1018"/>
      <c r="G475" s="1017"/>
      <c r="H475" s="539"/>
      <c r="I475" s="312"/>
      <c r="J475" s="536"/>
      <c r="K475" s="42"/>
      <c r="L475" s="50"/>
      <c r="M475" s="537"/>
      <c r="N475" s="318"/>
      <c r="O475" s="549"/>
      <c r="P475" s="1008"/>
      <c r="Q475" s="539"/>
      <c r="R475" s="43"/>
      <c r="S475" s="1035"/>
      <c r="T475" s="12"/>
      <c r="U475" s="536"/>
      <c r="V475" s="536"/>
      <c r="W475" s="547"/>
      <c r="X475" s="536"/>
      <c r="Y475" s="537"/>
      <c r="Z475" s="1026"/>
      <c r="AA475" s="1026"/>
      <c r="AB475" s="1026"/>
      <c r="AC475" s="536"/>
      <c r="AD475" s="43"/>
      <c r="AE475" s="1050"/>
      <c r="AF475" s="12"/>
      <c r="AG475" s="536"/>
      <c r="AH475" s="536"/>
      <c r="AI475" s="547"/>
      <c r="AJ475" s="536"/>
      <c r="AK475" s="538"/>
      <c r="AL475" s="12"/>
      <c r="AM475" s="536"/>
      <c r="AN475" s="536"/>
      <c r="AO475" s="547"/>
      <c r="AP475" s="536"/>
      <c r="AQ475" s="538"/>
      <c r="AR475" s="530"/>
    </row>
    <row r="476" spans="1:44" ht="56.25">
      <c r="A476" s="536">
        <v>247</v>
      </c>
      <c r="B476" s="536">
        <v>742034</v>
      </c>
      <c r="C476" s="546" t="s">
        <v>373</v>
      </c>
      <c r="D476" s="547">
        <v>0.85</v>
      </c>
      <c r="E476" s="537">
        <v>5525</v>
      </c>
      <c r="F476" s="548">
        <v>0.85</v>
      </c>
      <c r="G476" s="537">
        <v>5525</v>
      </c>
      <c r="H476" s="536"/>
      <c r="I476" s="312"/>
      <c r="J476" s="536"/>
      <c r="K476" s="42"/>
      <c r="L476" s="50"/>
      <c r="M476" s="537"/>
      <c r="N476" s="538" t="s">
        <v>2843</v>
      </c>
      <c r="O476" s="538" t="s">
        <v>2844</v>
      </c>
      <c r="P476" s="536" t="s">
        <v>120</v>
      </c>
      <c r="Q476" s="547">
        <v>1</v>
      </c>
      <c r="R476" s="536" t="s">
        <v>118</v>
      </c>
      <c r="S476" s="725">
        <v>370</v>
      </c>
      <c r="T476" s="12"/>
      <c r="U476" s="536"/>
      <c r="V476" s="536"/>
      <c r="W476" s="547"/>
      <c r="X476" s="536"/>
      <c r="Y476" s="537"/>
      <c r="Z476" s="12"/>
      <c r="AA476" s="536"/>
      <c r="AB476" s="536"/>
      <c r="AC476" s="547"/>
      <c r="AD476" s="536"/>
      <c r="AE476" s="537"/>
      <c r="AF476" s="12"/>
      <c r="AG476" s="536"/>
      <c r="AH476" s="536"/>
      <c r="AI476" s="547"/>
      <c r="AJ476" s="536"/>
      <c r="AK476" s="538"/>
      <c r="AL476" s="12"/>
      <c r="AM476" s="536"/>
      <c r="AN476" s="536"/>
      <c r="AO476" s="547"/>
      <c r="AP476" s="536"/>
      <c r="AQ476" s="538"/>
      <c r="AR476" s="530"/>
    </row>
    <row r="477" spans="1:44" ht="56.25">
      <c r="A477" s="1008">
        <v>248</v>
      </c>
      <c r="B477" s="1008">
        <v>738296</v>
      </c>
      <c r="C477" s="1025" t="s">
        <v>374</v>
      </c>
      <c r="D477" s="1024">
        <v>1.55</v>
      </c>
      <c r="E477" s="1017">
        <v>3875</v>
      </c>
      <c r="F477" s="1018">
        <v>1.55</v>
      </c>
      <c r="G477" s="1017">
        <v>3875</v>
      </c>
      <c r="H477" s="539"/>
      <c r="I477" s="312"/>
      <c r="J477" s="536"/>
      <c r="K477" s="42"/>
      <c r="L477" s="50"/>
      <c r="M477" s="537"/>
      <c r="N477" s="538"/>
      <c r="O477" s="536"/>
      <c r="P477" s="536"/>
      <c r="Q477" s="547"/>
      <c r="R477" s="536"/>
      <c r="S477" s="725"/>
      <c r="T477" s="12"/>
      <c r="U477" s="536"/>
      <c r="V477" s="536"/>
      <c r="W477" s="547"/>
      <c r="X477" s="536"/>
      <c r="Y477" s="537"/>
      <c r="Z477" s="1031"/>
      <c r="AA477" s="1023"/>
      <c r="AB477" s="1023"/>
      <c r="AC477" s="547"/>
      <c r="AD477" s="553"/>
      <c r="AE477" s="1050"/>
      <c r="AF477" s="12"/>
      <c r="AG477" s="536"/>
      <c r="AH477" s="536" t="s">
        <v>93</v>
      </c>
      <c r="AI477" s="547">
        <v>1</v>
      </c>
      <c r="AJ477" s="536" t="s">
        <v>118</v>
      </c>
      <c r="AK477" s="537">
        <v>50</v>
      </c>
      <c r="AL477" s="12"/>
      <c r="AM477" s="536"/>
      <c r="AN477" s="536"/>
      <c r="AO477" s="547"/>
      <c r="AP477" s="536"/>
      <c r="AQ477" s="538"/>
      <c r="AR477" s="530"/>
    </row>
    <row r="478" spans="1:44" ht="18.75">
      <c r="A478" s="1008"/>
      <c r="B478" s="1008"/>
      <c r="C478" s="1025"/>
      <c r="D478" s="1024"/>
      <c r="E478" s="1017"/>
      <c r="F478" s="1018"/>
      <c r="G478" s="1017"/>
      <c r="H478" s="539"/>
      <c r="I478" s="312"/>
      <c r="J478" s="536"/>
      <c r="K478" s="42"/>
      <c r="L478" s="50"/>
      <c r="M478" s="537"/>
      <c r="N478" s="538"/>
      <c r="O478" s="536"/>
      <c r="P478" s="536"/>
      <c r="Q478" s="547"/>
      <c r="R478" s="536"/>
      <c r="S478" s="725"/>
      <c r="T478" s="12"/>
      <c r="U478" s="536"/>
      <c r="V478" s="536"/>
      <c r="W478" s="547"/>
      <c r="X478" s="536"/>
      <c r="Y478" s="537"/>
      <c r="Z478" s="1026"/>
      <c r="AA478" s="1026"/>
      <c r="AB478" s="1026"/>
      <c r="AC478" s="536"/>
      <c r="AD478" s="43"/>
      <c r="AE478" s="1050"/>
      <c r="AF478" s="12"/>
      <c r="AG478" s="536"/>
      <c r="AH478" s="536"/>
      <c r="AI478" s="547"/>
      <c r="AJ478" s="536"/>
      <c r="AK478" s="538"/>
      <c r="AL478" s="12"/>
      <c r="AM478" s="536"/>
      <c r="AN478" s="536"/>
      <c r="AO478" s="547"/>
      <c r="AP478" s="536"/>
      <c r="AQ478" s="538"/>
      <c r="AR478" s="530"/>
    </row>
    <row r="479" spans="1:44" ht="93.75">
      <c r="A479" s="536">
        <v>249</v>
      </c>
      <c r="B479" s="536">
        <v>739008</v>
      </c>
      <c r="C479" s="546" t="s">
        <v>375</v>
      </c>
      <c r="D479" s="547">
        <v>0.48</v>
      </c>
      <c r="E479" s="537">
        <v>10000</v>
      </c>
      <c r="F479" s="548">
        <v>0.48</v>
      </c>
      <c r="G479" s="537">
        <v>10000</v>
      </c>
      <c r="H479" s="536"/>
      <c r="I479" s="312"/>
      <c r="J479" s="536"/>
      <c r="K479" s="42"/>
      <c r="L479" s="50"/>
      <c r="M479" s="537"/>
      <c r="N479" s="538"/>
      <c r="O479" s="536"/>
      <c r="P479" s="536"/>
      <c r="Q479" s="547"/>
      <c r="R479" s="536"/>
      <c r="S479" s="725"/>
      <c r="T479" s="12"/>
      <c r="U479" s="536"/>
      <c r="V479" s="536"/>
      <c r="W479" s="547"/>
      <c r="X479" s="536"/>
      <c r="Y479" s="537"/>
      <c r="Z479" s="12"/>
      <c r="AA479" s="536"/>
      <c r="AB479" s="536"/>
      <c r="AC479" s="547"/>
      <c r="AD479" s="536"/>
      <c r="AE479" s="537"/>
      <c r="AF479" s="12"/>
      <c r="AG479" s="536"/>
      <c r="AH479" s="536" t="s">
        <v>93</v>
      </c>
      <c r="AI479" s="547">
        <v>1</v>
      </c>
      <c r="AJ479" s="536" t="s">
        <v>118</v>
      </c>
      <c r="AK479" s="537">
        <v>50</v>
      </c>
      <c r="AL479" s="12"/>
      <c r="AM479" s="536"/>
      <c r="AN479" s="536"/>
      <c r="AO479" s="547"/>
      <c r="AP479" s="536"/>
      <c r="AQ479" s="538"/>
      <c r="AR479" s="530"/>
    </row>
    <row r="480" spans="1:44" ht="56.25">
      <c r="A480" s="536">
        <v>250</v>
      </c>
      <c r="B480" s="536">
        <v>751151</v>
      </c>
      <c r="C480" s="546" t="s">
        <v>376</v>
      </c>
      <c r="D480" s="547">
        <v>0.6</v>
      </c>
      <c r="E480" s="537">
        <v>4200</v>
      </c>
      <c r="F480" s="548">
        <v>0.6</v>
      </c>
      <c r="G480" s="537">
        <v>4200</v>
      </c>
      <c r="H480" s="536"/>
      <c r="I480" s="312"/>
      <c r="J480" s="536"/>
      <c r="K480" s="42"/>
      <c r="L480" s="50"/>
      <c r="M480" s="537"/>
      <c r="N480" s="538"/>
      <c r="O480" s="536"/>
      <c r="P480" s="536"/>
      <c r="Q480" s="547"/>
      <c r="R480" s="536"/>
      <c r="S480" s="725"/>
      <c r="T480" s="12"/>
      <c r="U480" s="536"/>
      <c r="V480" s="536"/>
      <c r="W480" s="547"/>
      <c r="X480" s="536"/>
      <c r="Y480" s="537"/>
      <c r="Z480" s="12"/>
      <c r="AA480" s="536"/>
      <c r="AB480" s="536" t="s">
        <v>93</v>
      </c>
      <c r="AC480" s="547">
        <v>1</v>
      </c>
      <c r="AD480" s="536" t="s">
        <v>118</v>
      </c>
      <c r="AE480" s="537">
        <v>50</v>
      </c>
      <c r="AF480" s="12"/>
      <c r="AG480" s="536"/>
      <c r="AH480" s="536"/>
      <c r="AI480" s="547"/>
      <c r="AJ480" s="536"/>
      <c r="AK480" s="538"/>
      <c r="AL480" s="12"/>
      <c r="AM480" s="536"/>
      <c r="AN480" s="536"/>
      <c r="AO480" s="547"/>
      <c r="AP480" s="536"/>
      <c r="AQ480" s="538"/>
      <c r="AR480" s="530"/>
    </row>
    <row r="481" spans="1:44" ht="37.5">
      <c r="A481" s="1008">
        <v>251</v>
      </c>
      <c r="B481" s="1008">
        <v>738457</v>
      </c>
      <c r="C481" s="1025" t="s">
        <v>377</v>
      </c>
      <c r="D481" s="1024">
        <v>1.55</v>
      </c>
      <c r="E481" s="1017">
        <v>10535</v>
      </c>
      <c r="F481" s="1018">
        <v>1.55</v>
      </c>
      <c r="G481" s="1017">
        <v>10535</v>
      </c>
      <c r="H481" s="539"/>
      <c r="I481" s="312"/>
      <c r="J481" s="536"/>
      <c r="K481" s="42"/>
      <c r="L481" s="50"/>
      <c r="M481" s="537"/>
      <c r="N481" s="538" t="s">
        <v>2877</v>
      </c>
      <c r="O481" s="538" t="s">
        <v>2877</v>
      </c>
      <c r="P481" s="536" t="s">
        <v>93</v>
      </c>
      <c r="Q481" s="547">
        <v>1</v>
      </c>
      <c r="R481" s="536" t="s">
        <v>118</v>
      </c>
      <c r="S481" s="725">
        <v>20</v>
      </c>
      <c r="T481" s="12"/>
      <c r="U481" s="536"/>
      <c r="V481" s="536"/>
      <c r="W481" s="547"/>
      <c r="X481" s="536"/>
      <c r="Y481" s="537"/>
      <c r="Z481" s="12"/>
      <c r="AA481" s="536"/>
      <c r="AB481" s="536"/>
      <c r="AC481" s="547"/>
      <c r="AD481" s="536"/>
      <c r="AE481" s="537"/>
      <c r="AF481" s="12"/>
      <c r="AG481" s="536"/>
      <c r="AH481" s="536"/>
      <c r="AI481" s="547"/>
      <c r="AJ481" s="536"/>
      <c r="AK481" s="538"/>
      <c r="AL481" s="12"/>
      <c r="AM481" s="536"/>
      <c r="AN481" s="536"/>
      <c r="AO481" s="547"/>
      <c r="AP481" s="536"/>
      <c r="AQ481" s="538"/>
      <c r="AR481" s="530"/>
    </row>
    <row r="482" spans="1:44" ht="37.5">
      <c r="A482" s="1008"/>
      <c r="B482" s="1008"/>
      <c r="C482" s="1025"/>
      <c r="D482" s="1024"/>
      <c r="E482" s="1017"/>
      <c r="F482" s="1018"/>
      <c r="G482" s="1017"/>
      <c r="H482" s="539"/>
      <c r="I482" s="312"/>
      <c r="J482" s="536"/>
      <c r="K482" s="42"/>
      <c r="L482" s="50"/>
      <c r="M482" s="537"/>
      <c r="N482" s="538" t="s">
        <v>2852</v>
      </c>
      <c r="O482" s="538" t="s">
        <v>2852</v>
      </c>
      <c r="P482" s="536" t="s">
        <v>462</v>
      </c>
      <c r="Q482" s="547">
        <v>1</v>
      </c>
      <c r="R482" s="536" t="s">
        <v>118</v>
      </c>
      <c r="S482" s="725">
        <v>100</v>
      </c>
      <c r="T482" s="12"/>
      <c r="U482" s="536"/>
      <c r="V482" s="536"/>
      <c r="W482" s="547"/>
      <c r="X482" s="536"/>
      <c r="Y482" s="537"/>
      <c r="Z482" s="12"/>
      <c r="AA482" s="536"/>
      <c r="AB482" s="536"/>
      <c r="AC482" s="547"/>
      <c r="AD482" s="536"/>
      <c r="AE482" s="537"/>
      <c r="AF482" s="12"/>
      <c r="AG482" s="536"/>
      <c r="AH482" s="536"/>
      <c r="AI482" s="547"/>
      <c r="AJ482" s="536"/>
      <c r="AK482" s="538"/>
      <c r="AL482" s="12"/>
      <c r="AM482" s="536"/>
      <c r="AN482" s="536"/>
      <c r="AO482" s="547"/>
      <c r="AP482" s="536"/>
      <c r="AQ482" s="538"/>
      <c r="AR482" s="530"/>
    </row>
    <row r="483" spans="1:44" ht="37.5">
      <c r="A483" s="1008"/>
      <c r="B483" s="1008"/>
      <c r="C483" s="1025"/>
      <c r="D483" s="1024"/>
      <c r="E483" s="1017"/>
      <c r="F483" s="1018"/>
      <c r="G483" s="1017"/>
      <c r="H483" s="539"/>
      <c r="I483" s="312"/>
      <c r="J483" s="536"/>
      <c r="K483" s="42"/>
      <c r="L483" s="50"/>
      <c r="M483" s="537"/>
      <c r="N483" s="538" t="s">
        <v>2876</v>
      </c>
      <c r="O483" s="538" t="s">
        <v>2876</v>
      </c>
      <c r="P483" s="536" t="s">
        <v>93</v>
      </c>
      <c r="Q483" s="547">
        <v>1</v>
      </c>
      <c r="R483" s="536" t="s">
        <v>118</v>
      </c>
      <c r="S483" s="725">
        <v>25</v>
      </c>
      <c r="T483" s="12"/>
      <c r="U483" s="536"/>
      <c r="V483" s="536"/>
      <c r="W483" s="547"/>
      <c r="X483" s="536"/>
      <c r="Y483" s="537"/>
      <c r="Z483" s="12"/>
      <c r="AA483" s="536"/>
      <c r="AB483" s="536"/>
      <c r="AC483" s="547"/>
      <c r="AD483" s="536"/>
      <c r="AE483" s="537"/>
      <c r="AF483" s="12"/>
      <c r="AG483" s="536"/>
      <c r="AH483" s="536"/>
      <c r="AI483" s="547"/>
      <c r="AJ483" s="536"/>
      <c r="AK483" s="538"/>
      <c r="AL483" s="12"/>
      <c r="AM483" s="536"/>
      <c r="AN483" s="536"/>
      <c r="AO483" s="547"/>
      <c r="AP483" s="536"/>
      <c r="AQ483" s="538"/>
      <c r="AR483" s="530"/>
    </row>
    <row r="484" spans="1:44" ht="18.75">
      <c r="A484" s="1008">
        <v>252</v>
      </c>
      <c r="B484" s="1008">
        <v>739690</v>
      </c>
      <c r="C484" s="1025" t="s">
        <v>378</v>
      </c>
      <c r="D484" s="1024">
        <v>1.0980000000000001</v>
      </c>
      <c r="E484" s="1017">
        <v>9141</v>
      </c>
      <c r="F484" s="1018">
        <v>1.0980000000000001</v>
      </c>
      <c r="G484" s="1017">
        <v>9141</v>
      </c>
      <c r="H484" s="539"/>
      <c r="I484" s="539"/>
      <c r="J484" s="536"/>
      <c r="K484" s="17"/>
      <c r="L484" s="52"/>
      <c r="M484" s="537"/>
      <c r="N484" s="49"/>
      <c r="O484" s="49"/>
      <c r="P484" s="536"/>
      <c r="Q484" s="47"/>
      <c r="R484" s="52"/>
      <c r="S484" s="725"/>
      <c r="T484" s="12"/>
      <c r="U484" s="536"/>
      <c r="V484" s="536"/>
      <c r="W484" s="547"/>
      <c r="X484" s="536"/>
      <c r="Y484" s="537"/>
      <c r="Z484" s="1031" t="s">
        <v>60</v>
      </c>
      <c r="AA484" s="1023" t="s">
        <v>2596</v>
      </c>
      <c r="AB484" s="1020" t="s">
        <v>114</v>
      </c>
      <c r="AC484" s="547">
        <f>IF(E484="","",D484/E484*AC485)</f>
        <v>0.15783524778470628</v>
      </c>
      <c r="AD484" s="553" t="s">
        <v>17</v>
      </c>
      <c r="AE484" s="1050">
        <v>2000</v>
      </c>
      <c r="AF484" s="12"/>
      <c r="AG484" s="536"/>
      <c r="AH484" s="536"/>
      <c r="AI484" s="547"/>
      <c r="AJ484" s="536"/>
      <c r="AK484" s="538"/>
      <c r="AL484" s="12"/>
      <c r="AM484" s="536"/>
      <c r="AN484" s="536"/>
      <c r="AO484" s="547"/>
      <c r="AP484" s="536"/>
      <c r="AQ484" s="538"/>
      <c r="AR484" s="530"/>
    </row>
    <row r="485" spans="1:44" ht="18.75">
      <c r="A485" s="1008"/>
      <c r="B485" s="1008"/>
      <c r="C485" s="1025"/>
      <c r="D485" s="1024"/>
      <c r="E485" s="1017"/>
      <c r="F485" s="1018"/>
      <c r="G485" s="1017"/>
      <c r="H485" s="539"/>
      <c r="I485" s="312"/>
      <c r="J485" s="536"/>
      <c r="K485" s="42"/>
      <c r="L485" s="50"/>
      <c r="M485" s="537"/>
      <c r="N485" s="538"/>
      <c r="O485" s="536"/>
      <c r="P485" s="536"/>
      <c r="Q485" s="547"/>
      <c r="R485" s="536"/>
      <c r="S485" s="725"/>
      <c r="T485" s="12"/>
      <c r="U485" s="536"/>
      <c r="V485" s="536"/>
      <c r="W485" s="547"/>
      <c r="X485" s="536"/>
      <c r="Y485" s="537"/>
      <c r="Z485" s="1026"/>
      <c r="AA485" s="1026"/>
      <c r="AB485" s="1020"/>
      <c r="AC485" s="536">
        <v>1314</v>
      </c>
      <c r="AD485" s="43" t="s">
        <v>32</v>
      </c>
      <c r="AE485" s="1050"/>
      <c r="AF485" s="12"/>
      <c r="AG485" s="536"/>
      <c r="AH485" s="536"/>
      <c r="AI485" s="547"/>
      <c r="AJ485" s="536"/>
      <c r="AK485" s="538"/>
      <c r="AL485" s="12"/>
      <c r="AM485" s="536"/>
      <c r="AN485" s="536"/>
      <c r="AO485" s="547"/>
      <c r="AP485" s="536"/>
      <c r="AQ485" s="538"/>
      <c r="AR485" s="530"/>
    </row>
    <row r="486" spans="1:44" ht="18.75">
      <c r="A486" s="1008">
        <v>253</v>
      </c>
      <c r="B486" s="1008">
        <v>2795147</v>
      </c>
      <c r="C486" s="1025" t="s">
        <v>379</v>
      </c>
      <c r="D486" s="1024">
        <v>0.4</v>
      </c>
      <c r="E486" s="1017">
        <v>2800</v>
      </c>
      <c r="F486" s="1018">
        <v>0.4</v>
      </c>
      <c r="G486" s="1017">
        <v>2800</v>
      </c>
      <c r="H486" s="1019" t="s">
        <v>60</v>
      </c>
      <c r="I486" s="971" t="s">
        <v>2713</v>
      </c>
      <c r="J486" s="1020" t="s">
        <v>114</v>
      </c>
      <c r="K486" s="558">
        <v>0.4</v>
      </c>
      <c r="L486" s="553" t="s">
        <v>17</v>
      </c>
      <c r="M486" s="1017">
        <v>3253.7952500000001</v>
      </c>
      <c r="N486" s="538"/>
      <c r="O486" s="536"/>
      <c r="P486" s="536"/>
      <c r="Q486" s="547"/>
      <c r="R486" s="536"/>
      <c r="S486" s="725"/>
      <c r="T486" s="12"/>
      <c r="U486" s="536"/>
      <c r="V486" s="536"/>
      <c r="W486" s="547"/>
      <c r="X486" s="536"/>
      <c r="Y486" s="537"/>
      <c r="Z486" s="550"/>
      <c r="AA486" s="550"/>
      <c r="AB486" s="550"/>
      <c r="AC486" s="536"/>
      <c r="AD486" s="43"/>
      <c r="AE486" s="320"/>
      <c r="AF486" s="12"/>
      <c r="AG486" s="536"/>
      <c r="AH486" s="536"/>
      <c r="AI486" s="547"/>
      <c r="AJ486" s="536"/>
      <c r="AK486" s="538"/>
      <c r="AL486" s="12"/>
      <c r="AM486" s="536"/>
      <c r="AN486" s="536"/>
      <c r="AO486" s="547"/>
      <c r="AP486" s="536"/>
      <c r="AQ486" s="538"/>
      <c r="AR486" s="530"/>
    </row>
    <row r="487" spans="1:44" ht="18.75">
      <c r="A487" s="1008"/>
      <c r="B487" s="1008"/>
      <c r="C487" s="1025"/>
      <c r="D487" s="1024"/>
      <c r="E487" s="1017"/>
      <c r="F487" s="1018"/>
      <c r="G487" s="1017"/>
      <c r="H487" s="1019"/>
      <c r="I487" s="971"/>
      <c r="J487" s="1020"/>
      <c r="K487" s="51">
        <v>2800</v>
      </c>
      <c r="L487" s="43" t="s">
        <v>32</v>
      </c>
      <c r="M487" s="1017"/>
      <c r="N487" s="538"/>
      <c r="O487" s="536"/>
      <c r="P487" s="536"/>
      <c r="Q487" s="547"/>
      <c r="R487" s="536"/>
      <c r="S487" s="725"/>
      <c r="T487" s="12"/>
      <c r="U487" s="536"/>
      <c r="V487" s="536"/>
      <c r="W487" s="547"/>
      <c r="X487" s="536"/>
      <c r="Y487" s="537"/>
      <c r="Z487" s="550"/>
      <c r="AA487" s="550"/>
      <c r="AB487" s="550"/>
      <c r="AC487" s="536"/>
      <c r="AD487" s="43"/>
      <c r="AE487" s="320"/>
      <c r="AF487" s="12"/>
      <c r="AG487" s="536"/>
      <c r="AH487" s="536"/>
      <c r="AI487" s="547"/>
      <c r="AJ487" s="536"/>
      <c r="AK487" s="538"/>
      <c r="AL487" s="12"/>
      <c r="AM487" s="536"/>
      <c r="AN487" s="536"/>
      <c r="AO487" s="547"/>
      <c r="AP487" s="536"/>
      <c r="AQ487" s="538"/>
      <c r="AR487" s="530"/>
    </row>
    <row r="488" spans="1:44" ht="56.25">
      <c r="A488" s="1008">
        <v>254</v>
      </c>
      <c r="B488" s="957"/>
      <c r="C488" s="1025" t="s">
        <v>381</v>
      </c>
      <c r="D488" s="1024">
        <v>2.2999999999999998</v>
      </c>
      <c r="E488" s="1017">
        <v>25713</v>
      </c>
      <c r="F488" s="1018">
        <v>2.2999999999999998</v>
      </c>
      <c r="G488" s="1017">
        <v>25713</v>
      </c>
      <c r="H488" s="539"/>
      <c r="I488" s="312"/>
      <c r="J488" s="536"/>
      <c r="K488" s="558"/>
      <c r="L488" s="50"/>
      <c r="M488" s="537"/>
      <c r="N488" s="318"/>
      <c r="O488" s="549"/>
      <c r="P488" s="1008"/>
      <c r="Q488" s="547"/>
      <c r="R488" s="553"/>
      <c r="S488" s="1034"/>
      <c r="T488" s="12"/>
      <c r="U488" s="536"/>
      <c r="V488" s="536"/>
      <c r="W488" s="547"/>
      <c r="X488" s="536"/>
      <c r="Y488" s="537"/>
      <c r="Z488" s="12"/>
      <c r="AA488" s="536"/>
      <c r="AB488" s="536" t="s">
        <v>93</v>
      </c>
      <c r="AC488" s="547">
        <v>1</v>
      </c>
      <c r="AD488" s="536" t="s">
        <v>118</v>
      </c>
      <c r="AE488" s="537">
        <v>50</v>
      </c>
      <c r="AF488" s="12"/>
      <c r="AG488" s="536"/>
      <c r="AH488" s="536"/>
      <c r="AI488" s="547"/>
      <c r="AJ488" s="536"/>
      <c r="AK488" s="538"/>
      <c r="AL488" s="971"/>
      <c r="AM488" s="971"/>
      <c r="AN488" s="1028"/>
      <c r="AO488" s="1029"/>
      <c r="AP488" s="1028"/>
      <c r="AQ488" s="1030"/>
      <c r="AR488" s="530"/>
    </row>
    <row r="489" spans="1:44" ht="18.75">
      <c r="A489" s="1008"/>
      <c r="B489" s="957"/>
      <c r="C489" s="1025"/>
      <c r="D489" s="1024"/>
      <c r="E489" s="1017"/>
      <c r="F489" s="1018"/>
      <c r="G489" s="1017"/>
      <c r="H489" s="654"/>
      <c r="I489" s="312"/>
      <c r="J489" s="536"/>
      <c r="K489" s="42"/>
      <c r="L489" s="50"/>
      <c r="M489" s="537"/>
      <c r="N489" s="318"/>
      <c r="O489" s="549"/>
      <c r="P489" s="1008"/>
      <c r="Q489" s="539"/>
      <c r="R489" s="43"/>
      <c r="S489" s="1035"/>
      <c r="T489" s="12"/>
      <c r="U489" s="536"/>
      <c r="V489" s="536"/>
      <c r="W489" s="547"/>
      <c r="X489" s="536"/>
      <c r="Y489" s="537"/>
      <c r="Z489" s="12"/>
      <c r="AA489" s="536"/>
      <c r="AB489" s="536"/>
      <c r="AC489" s="547"/>
      <c r="AD489" s="536"/>
      <c r="AE489" s="537"/>
      <c r="AF489" s="12"/>
      <c r="AG489" s="536"/>
      <c r="AH489" s="536"/>
      <c r="AI489" s="547"/>
      <c r="AJ489" s="536"/>
      <c r="AK489" s="538"/>
      <c r="AL489" s="971"/>
      <c r="AM489" s="971"/>
      <c r="AN489" s="1028"/>
      <c r="AO489" s="1029"/>
      <c r="AP489" s="1028"/>
      <c r="AQ489" s="1030"/>
      <c r="AR489" s="530"/>
    </row>
    <row r="490" spans="1:44" ht="56.25">
      <c r="A490" s="536">
        <v>255</v>
      </c>
      <c r="B490" s="536">
        <v>737541</v>
      </c>
      <c r="C490" s="549" t="s">
        <v>382</v>
      </c>
      <c r="D490" s="547">
        <v>0.11</v>
      </c>
      <c r="E490" s="537">
        <v>2000</v>
      </c>
      <c r="F490" s="548">
        <v>0.11</v>
      </c>
      <c r="G490" s="537">
        <v>2000</v>
      </c>
      <c r="H490" s="536"/>
      <c r="I490" s="312"/>
      <c r="J490" s="536"/>
      <c r="K490" s="42"/>
      <c r="L490" s="50"/>
      <c r="M490" s="537"/>
      <c r="N490" s="538"/>
      <c r="O490" s="536"/>
      <c r="P490" s="536"/>
      <c r="Q490" s="547"/>
      <c r="R490" s="536"/>
      <c r="S490" s="725"/>
      <c r="T490" s="12"/>
      <c r="U490" s="536"/>
      <c r="V490" s="536"/>
      <c r="W490" s="547"/>
      <c r="X490" s="536"/>
      <c r="Y490" s="537"/>
      <c r="Z490" s="12"/>
      <c r="AA490" s="536"/>
      <c r="AB490" s="536" t="s">
        <v>93</v>
      </c>
      <c r="AC490" s="547">
        <v>1</v>
      </c>
      <c r="AD490" s="536" t="s">
        <v>118</v>
      </c>
      <c r="AE490" s="537">
        <v>50</v>
      </c>
      <c r="AF490" s="1059"/>
      <c r="AG490" s="1059"/>
      <c r="AH490" s="555"/>
      <c r="AI490" s="556"/>
      <c r="AJ490" s="555"/>
      <c r="AK490" s="594"/>
      <c r="AL490" s="12"/>
      <c r="AM490" s="536"/>
      <c r="AN490" s="536"/>
      <c r="AO490" s="547"/>
      <c r="AP490" s="536"/>
      <c r="AQ490" s="538"/>
      <c r="AR490" s="530"/>
    </row>
    <row r="491" spans="1:44" ht="56.25">
      <c r="A491" s="536">
        <v>256</v>
      </c>
      <c r="B491" s="536">
        <v>742304</v>
      </c>
      <c r="C491" s="549" t="s">
        <v>383</v>
      </c>
      <c r="D491" s="547">
        <v>0.38</v>
      </c>
      <c r="E491" s="537">
        <v>3375</v>
      </c>
      <c r="F491" s="548">
        <v>0.38</v>
      </c>
      <c r="G491" s="537">
        <v>3375</v>
      </c>
      <c r="H491" s="536"/>
      <c r="I491" s="312"/>
      <c r="J491" s="536"/>
      <c r="K491" s="42"/>
      <c r="L491" s="50"/>
      <c r="M491" s="537"/>
      <c r="N491" s="538"/>
      <c r="O491" s="536"/>
      <c r="P491" s="536"/>
      <c r="Q491" s="547"/>
      <c r="R491" s="536"/>
      <c r="S491" s="725"/>
      <c r="T491" s="12"/>
      <c r="U491" s="536"/>
      <c r="V491" s="536"/>
      <c r="W491" s="547"/>
      <c r="X491" s="536"/>
      <c r="Y491" s="537"/>
      <c r="Z491" s="12"/>
      <c r="AA491" s="536"/>
      <c r="AB491" s="536"/>
      <c r="AC491" s="547"/>
      <c r="AD491" s="536"/>
      <c r="AE491" s="537"/>
      <c r="AF491" s="12"/>
      <c r="AG491" s="536"/>
      <c r="AH491" s="536" t="s">
        <v>93</v>
      </c>
      <c r="AI491" s="547">
        <v>1</v>
      </c>
      <c r="AJ491" s="536" t="s">
        <v>118</v>
      </c>
      <c r="AK491" s="537">
        <v>50</v>
      </c>
      <c r="AL491" s="12"/>
      <c r="AM491" s="536"/>
      <c r="AN491" s="536"/>
      <c r="AO491" s="547"/>
      <c r="AP491" s="536"/>
      <c r="AQ491" s="538"/>
      <c r="AR491" s="530"/>
    </row>
    <row r="492" spans="1:44" ht="56.25">
      <c r="A492" s="536">
        <v>257</v>
      </c>
      <c r="B492" s="536">
        <v>740193</v>
      </c>
      <c r="C492" s="549" t="s">
        <v>384</v>
      </c>
      <c r="D492" s="547">
        <v>0.72</v>
      </c>
      <c r="E492" s="537">
        <v>6076</v>
      </c>
      <c r="F492" s="548">
        <v>0.72</v>
      </c>
      <c r="G492" s="537">
        <v>6076</v>
      </c>
      <c r="H492" s="539"/>
      <c r="I492" s="312"/>
      <c r="J492" s="536"/>
      <c r="K492" s="42"/>
      <c r="L492" s="50"/>
      <c r="M492" s="537"/>
      <c r="N492" s="538"/>
      <c r="O492" s="536"/>
      <c r="P492" s="536"/>
      <c r="Q492" s="547"/>
      <c r="R492" s="536"/>
      <c r="S492" s="725"/>
      <c r="T492" s="12"/>
      <c r="U492" s="536"/>
      <c r="V492" s="536"/>
      <c r="W492" s="547"/>
      <c r="X492" s="536"/>
      <c r="Y492" s="537"/>
      <c r="Z492" s="12"/>
      <c r="AA492" s="536"/>
      <c r="AB492" s="536"/>
      <c r="AC492" s="547"/>
      <c r="AD492" s="536"/>
      <c r="AE492" s="537"/>
      <c r="AF492" s="12"/>
      <c r="AG492" s="536"/>
      <c r="AH492" s="536"/>
      <c r="AI492" s="547"/>
      <c r="AJ492" s="536"/>
      <c r="AK492" s="538"/>
      <c r="AL492" s="1032"/>
      <c r="AM492" s="1032"/>
      <c r="AN492" s="536" t="s">
        <v>93</v>
      </c>
      <c r="AO492" s="547">
        <v>1</v>
      </c>
      <c r="AP492" s="536" t="s">
        <v>118</v>
      </c>
      <c r="AQ492" s="537">
        <v>50</v>
      </c>
      <c r="AR492" s="530"/>
    </row>
    <row r="493" spans="1:44" ht="56.25">
      <c r="A493" s="536">
        <v>258</v>
      </c>
      <c r="B493" s="536">
        <v>737894</v>
      </c>
      <c r="C493" s="549" t="s">
        <v>385</v>
      </c>
      <c r="D493" s="547">
        <v>0.23</v>
      </c>
      <c r="E493" s="537">
        <v>4800</v>
      </c>
      <c r="F493" s="548">
        <v>0.23</v>
      </c>
      <c r="G493" s="537">
        <v>4800</v>
      </c>
      <c r="H493" s="536"/>
      <c r="I493" s="312"/>
      <c r="J493" s="536"/>
      <c r="K493" s="42"/>
      <c r="L493" s="50"/>
      <c r="M493" s="537"/>
      <c r="N493" s="538"/>
      <c r="O493" s="536"/>
      <c r="P493" s="536"/>
      <c r="Q493" s="547"/>
      <c r="R493" s="536"/>
      <c r="S493" s="725"/>
      <c r="T493" s="12"/>
      <c r="U493" s="536"/>
      <c r="V493" s="536"/>
      <c r="W493" s="547"/>
      <c r="X493" s="536"/>
      <c r="Y493" s="537"/>
      <c r="Z493" s="12"/>
      <c r="AA493" s="536"/>
      <c r="AB493" s="536"/>
      <c r="AC493" s="547"/>
      <c r="AD493" s="536"/>
      <c r="AE493" s="537"/>
      <c r="AF493" s="12"/>
      <c r="AG493" s="536"/>
      <c r="AH493" s="536"/>
      <c r="AI493" s="547"/>
      <c r="AJ493" s="536"/>
      <c r="AK493" s="538"/>
      <c r="AL493" s="12"/>
      <c r="AM493" s="536"/>
      <c r="AN493" s="536" t="s">
        <v>93</v>
      </c>
      <c r="AO493" s="547">
        <v>1</v>
      </c>
      <c r="AP493" s="536" t="s">
        <v>118</v>
      </c>
      <c r="AQ493" s="537">
        <v>50</v>
      </c>
      <c r="AR493" s="530"/>
    </row>
    <row r="494" spans="1:44" ht="56.25">
      <c r="A494" s="536">
        <v>259</v>
      </c>
      <c r="B494" s="536">
        <v>734691</v>
      </c>
      <c r="C494" s="549" t="s">
        <v>386</v>
      </c>
      <c r="D494" s="547">
        <v>1.1200000000000001</v>
      </c>
      <c r="E494" s="537">
        <v>9853</v>
      </c>
      <c r="F494" s="548">
        <v>1.1200000000000001</v>
      </c>
      <c r="G494" s="537">
        <v>9853</v>
      </c>
      <c r="H494" s="536"/>
      <c r="I494" s="312"/>
      <c r="J494" s="536"/>
      <c r="K494" s="42"/>
      <c r="L494" s="50"/>
      <c r="M494" s="537"/>
      <c r="N494" s="538" t="s">
        <v>2911</v>
      </c>
      <c r="O494" s="538" t="s">
        <v>2911</v>
      </c>
      <c r="P494" s="536" t="s">
        <v>120</v>
      </c>
      <c r="Q494" s="547">
        <v>1</v>
      </c>
      <c r="R494" s="536" t="s">
        <v>118</v>
      </c>
      <c r="S494" s="725">
        <v>2500</v>
      </c>
      <c r="T494" s="12"/>
      <c r="U494" s="536"/>
      <c r="V494" s="536"/>
      <c r="W494" s="547"/>
      <c r="X494" s="536"/>
      <c r="Y494" s="537"/>
      <c r="Z494" s="12"/>
      <c r="AA494" s="536"/>
      <c r="AB494" s="536"/>
      <c r="AC494" s="547"/>
      <c r="AD494" s="536"/>
      <c r="AE494" s="537"/>
      <c r="AF494" s="12"/>
      <c r="AG494" s="536"/>
      <c r="AH494" s="536"/>
      <c r="AI494" s="547"/>
      <c r="AJ494" s="536"/>
      <c r="AK494" s="538"/>
      <c r="AL494" s="971"/>
      <c r="AM494" s="971"/>
      <c r="AN494" s="555"/>
      <c r="AO494" s="556"/>
      <c r="AP494" s="555"/>
      <c r="AQ494" s="594"/>
      <c r="AR494" s="530"/>
    </row>
    <row r="495" spans="1:44" ht="56.25">
      <c r="A495" s="536">
        <v>260</v>
      </c>
      <c r="B495" s="536">
        <v>734691</v>
      </c>
      <c r="C495" s="549" t="s">
        <v>387</v>
      </c>
      <c r="D495" s="547">
        <v>0.72</v>
      </c>
      <c r="E495" s="537">
        <v>6754</v>
      </c>
      <c r="F495" s="548">
        <v>0.72</v>
      </c>
      <c r="G495" s="537">
        <v>6754</v>
      </c>
      <c r="H495" s="536"/>
      <c r="I495" s="312"/>
      <c r="J495" s="536"/>
      <c r="K495" s="42"/>
      <c r="L495" s="50"/>
      <c r="M495" s="537"/>
      <c r="N495" s="538"/>
      <c r="O495" s="536"/>
      <c r="P495" s="536"/>
      <c r="Q495" s="547"/>
      <c r="R495" s="536"/>
      <c r="S495" s="725"/>
      <c r="T495" s="12"/>
      <c r="U495" s="536"/>
      <c r="V495" s="536"/>
      <c r="W495" s="547"/>
      <c r="X495" s="536"/>
      <c r="Y495" s="537"/>
      <c r="Z495" s="12"/>
      <c r="AA495" s="536"/>
      <c r="AB495" s="536"/>
      <c r="AC495" s="547"/>
      <c r="AD495" s="536"/>
      <c r="AE495" s="537"/>
      <c r="AF495" s="12"/>
      <c r="AG495" s="536"/>
      <c r="AH495" s="536" t="s">
        <v>93</v>
      </c>
      <c r="AI495" s="547">
        <v>1</v>
      </c>
      <c r="AJ495" s="536" t="s">
        <v>118</v>
      </c>
      <c r="AK495" s="537">
        <v>50</v>
      </c>
      <c r="AL495" s="12"/>
      <c r="AM495" s="536"/>
      <c r="AN495" s="536"/>
      <c r="AO495" s="547"/>
      <c r="AP495" s="536"/>
      <c r="AQ495" s="538"/>
      <c r="AR495" s="530"/>
    </row>
    <row r="496" spans="1:44" ht="56.25">
      <c r="A496" s="536">
        <v>261</v>
      </c>
      <c r="B496" s="536">
        <v>749458</v>
      </c>
      <c r="C496" s="549" t="s">
        <v>388</v>
      </c>
      <c r="D496" s="547">
        <v>0.92</v>
      </c>
      <c r="E496" s="537">
        <v>19022</v>
      </c>
      <c r="F496" s="548">
        <v>0.92</v>
      </c>
      <c r="G496" s="537">
        <v>19022</v>
      </c>
      <c r="H496" s="536"/>
      <c r="I496" s="536"/>
      <c r="J496" s="536"/>
      <c r="K496" s="47"/>
      <c r="L496" s="50"/>
      <c r="M496" s="537"/>
      <c r="N496" s="549" t="s">
        <v>2845</v>
      </c>
      <c r="O496" s="549" t="s">
        <v>2845</v>
      </c>
      <c r="P496" s="536" t="s">
        <v>120</v>
      </c>
      <c r="Q496" s="547">
        <v>1</v>
      </c>
      <c r="R496" s="536" t="s">
        <v>118</v>
      </c>
      <c r="S496" s="725">
        <v>290</v>
      </c>
      <c r="T496" s="12"/>
      <c r="U496" s="536"/>
      <c r="V496" s="536"/>
      <c r="W496" s="547"/>
      <c r="X496" s="536"/>
      <c r="Y496" s="537"/>
      <c r="Z496" s="1008"/>
      <c r="AA496" s="1008"/>
      <c r="AB496" s="536"/>
      <c r="AC496" s="47"/>
      <c r="AD496" s="50"/>
      <c r="AE496" s="537"/>
      <c r="AF496" s="12"/>
      <c r="AG496" s="536"/>
      <c r="AH496" s="536"/>
      <c r="AI496" s="547"/>
      <c r="AJ496" s="536"/>
      <c r="AK496" s="538"/>
      <c r="AL496" s="12"/>
      <c r="AM496" s="536"/>
      <c r="AN496" s="536"/>
      <c r="AO496" s="547"/>
      <c r="AP496" s="536"/>
      <c r="AQ496" s="538"/>
      <c r="AR496" s="530"/>
    </row>
    <row r="497" spans="1:44" ht="18.75">
      <c r="A497" s="1008">
        <v>262</v>
      </c>
      <c r="B497" s="1008">
        <v>739666</v>
      </c>
      <c r="C497" s="1025" t="s">
        <v>389</v>
      </c>
      <c r="D497" s="1024">
        <v>1.601</v>
      </c>
      <c r="E497" s="1017">
        <v>15369</v>
      </c>
      <c r="F497" s="1018">
        <v>1.601</v>
      </c>
      <c r="G497" s="1017">
        <v>15369</v>
      </c>
      <c r="H497" s="539"/>
      <c r="I497" s="312"/>
      <c r="J497" s="1008"/>
      <c r="K497" s="558"/>
      <c r="L497" s="553"/>
      <c r="M497" s="1017"/>
      <c r="N497" s="903" t="s">
        <v>60</v>
      </c>
      <c r="O497" s="903" t="s">
        <v>2912</v>
      </c>
      <c r="P497" s="1020" t="s">
        <v>114</v>
      </c>
      <c r="Q497" s="547">
        <v>1.393</v>
      </c>
      <c r="R497" s="553" t="s">
        <v>17</v>
      </c>
      <c r="S497" s="1034">
        <v>17020.79</v>
      </c>
      <c r="T497" s="12"/>
      <c r="U497" s="536"/>
      <c r="V497" s="536"/>
      <c r="W497" s="547"/>
      <c r="X497" s="536"/>
      <c r="Y497" s="537"/>
      <c r="Z497" s="536"/>
      <c r="AA497" s="536"/>
      <c r="AB497" s="536"/>
      <c r="AC497" s="47"/>
      <c r="AD497" s="50"/>
      <c r="AE497" s="537"/>
      <c r="AF497" s="12"/>
      <c r="AG497" s="536"/>
      <c r="AH497" s="536"/>
      <c r="AI497" s="547"/>
      <c r="AJ497" s="536"/>
      <c r="AK497" s="538"/>
      <c r="AL497" s="12"/>
      <c r="AM497" s="536"/>
      <c r="AN497" s="536"/>
      <c r="AO497" s="547"/>
      <c r="AP497" s="536"/>
      <c r="AQ497" s="538"/>
      <c r="AR497" s="530"/>
    </row>
    <row r="498" spans="1:44" ht="18.75">
      <c r="A498" s="1008"/>
      <c r="B498" s="1008"/>
      <c r="C498" s="1025"/>
      <c r="D498" s="1024"/>
      <c r="E498" s="1017"/>
      <c r="F498" s="1018"/>
      <c r="G498" s="1017"/>
      <c r="H498" s="539"/>
      <c r="I498" s="312"/>
      <c r="J498" s="1008"/>
      <c r="K498" s="51"/>
      <c r="L498" s="43"/>
      <c r="M498" s="1017"/>
      <c r="N498" s="903"/>
      <c r="O498" s="903"/>
      <c r="P498" s="1020"/>
      <c r="Q498" s="539">
        <f>Q497*G497/F497</f>
        <v>13372.27795128045</v>
      </c>
      <c r="R498" s="43" t="s">
        <v>32</v>
      </c>
      <c r="S498" s="1035"/>
      <c r="T498" s="12"/>
      <c r="U498" s="536"/>
      <c r="V498" s="536"/>
      <c r="W498" s="547"/>
      <c r="X498" s="536"/>
      <c r="Y498" s="537"/>
      <c r="Z498" s="536"/>
      <c r="AA498" s="536"/>
      <c r="AB498" s="536"/>
      <c r="AC498" s="47"/>
      <c r="AD498" s="50"/>
      <c r="AE498" s="537"/>
      <c r="AF498" s="12"/>
      <c r="AG498" s="536"/>
      <c r="AH498" s="536"/>
      <c r="AI498" s="547"/>
      <c r="AJ498" s="536"/>
      <c r="AK498" s="538"/>
      <c r="AL498" s="12"/>
      <c r="AM498" s="536"/>
      <c r="AN498" s="536"/>
      <c r="AO498" s="547"/>
      <c r="AP498" s="536"/>
      <c r="AQ498" s="538"/>
      <c r="AR498" s="530"/>
    </row>
    <row r="499" spans="1:44" ht="18.75">
      <c r="A499" s="1008">
        <v>263</v>
      </c>
      <c r="B499" s="1008">
        <v>742464</v>
      </c>
      <c r="C499" s="1025" t="s">
        <v>390</v>
      </c>
      <c r="D499" s="1024">
        <v>0.85</v>
      </c>
      <c r="E499" s="1017">
        <v>7565</v>
      </c>
      <c r="F499" s="1018">
        <v>0.85</v>
      </c>
      <c r="G499" s="1017">
        <v>7565</v>
      </c>
      <c r="H499" s="539"/>
      <c r="I499" s="312"/>
      <c r="J499" s="1008"/>
      <c r="K499" s="558"/>
      <c r="L499" s="553"/>
      <c r="M499" s="1017"/>
      <c r="N499" s="903" t="s">
        <v>60</v>
      </c>
      <c r="O499" s="903" t="s">
        <v>2913</v>
      </c>
      <c r="P499" s="1020" t="s">
        <v>114</v>
      </c>
      <c r="Q499" s="547">
        <v>0.85</v>
      </c>
      <c r="R499" s="553" t="s">
        <v>17</v>
      </c>
      <c r="S499" s="1034">
        <v>9630.98</v>
      </c>
      <c r="T499" s="12"/>
      <c r="U499" s="536"/>
      <c r="V499" s="536"/>
      <c r="W499" s="547"/>
      <c r="X499" s="536"/>
      <c r="Y499" s="537"/>
      <c r="Z499" s="536"/>
      <c r="AA499" s="536"/>
      <c r="AB499" s="536"/>
      <c r="AC499" s="47"/>
      <c r="AD499" s="50"/>
      <c r="AE499" s="537"/>
      <c r="AF499" s="12"/>
      <c r="AG499" s="536"/>
      <c r="AH499" s="536"/>
      <c r="AI499" s="547"/>
      <c r="AJ499" s="536"/>
      <c r="AK499" s="538"/>
      <c r="AL499" s="12"/>
      <c r="AM499" s="536"/>
      <c r="AN499" s="536"/>
      <c r="AO499" s="547"/>
      <c r="AP499" s="536"/>
      <c r="AQ499" s="538"/>
      <c r="AR499" s="530"/>
    </row>
    <row r="500" spans="1:44" ht="18.75">
      <c r="A500" s="1008"/>
      <c r="B500" s="1008"/>
      <c r="C500" s="1025"/>
      <c r="D500" s="1024"/>
      <c r="E500" s="1017"/>
      <c r="F500" s="1018"/>
      <c r="G500" s="1017"/>
      <c r="H500" s="539"/>
      <c r="I500" s="312"/>
      <c r="J500" s="1008"/>
      <c r="K500" s="51"/>
      <c r="L500" s="43"/>
      <c r="M500" s="1017"/>
      <c r="N500" s="903"/>
      <c r="O500" s="903"/>
      <c r="P500" s="1020"/>
      <c r="Q500" s="539">
        <f>Q499*G499/F499</f>
        <v>7565</v>
      </c>
      <c r="R500" s="43" t="s">
        <v>32</v>
      </c>
      <c r="S500" s="1035"/>
      <c r="T500" s="12"/>
      <c r="U500" s="536"/>
      <c r="V500" s="536"/>
      <c r="W500" s="547"/>
      <c r="X500" s="536"/>
      <c r="Y500" s="537"/>
      <c r="Z500" s="536"/>
      <c r="AA500" s="536"/>
      <c r="AB500" s="536"/>
      <c r="AC500" s="47"/>
      <c r="AD500" s="50"/>
      <c r="AE500" s="537"/>
      <c r="AF500" s="12"/>
      <c r="AG500" s="536"/>
      <c r="AH500" s="536"/>
      <c r="AI500" s="547"/>
      <c r="AJ500" s="536"/>
      <c r="AK500" s="538"/>
      <c r="AL500" s="12"/>
      <c r="AM500" s="536"/>
      <c r="AN500" s="536"/>
      <c r="AO500" s="547"/>
      <c r="AP500" s="536"/>
      <c r="AQ500" s="538"/>
      <c r="AR500" s="530"/>
    </row>
    <row r="501" spans="1:44" ht="18.75">
      <c r="A501" s="1008">
        <v>264</v>
      </c>
      <c r="B501" s="1008">
        <v>739025</v>
      </c>
      <c r="C501" s="1025" t="s">
        <v>391</v>
      </c>
      <c r="D501" s="1024">
        <v>0.36059999999999998</v>
      </c>
      <c r="E501" s="1017">
        <v>2921</v>
      </c>
      <c r="F501" s="1018">
        <v>0.36059999999999998</v>
      </c>
      <c r="G501" s="1017">
        <v>2921</v>
      </c>
      <c r="H501" s="536"/>
      <c r="I501" s="536"/>
      <c r="J501" s="536"/>
      <c r="K501" s="47"/>
      <c r="L501" s="50"/>
      <c r="M501" s="537"/>
      <c r="N501" s="903" t="s">
        <v>60</v>
      </c>
      <c r="O501" s="903" t="s">
        <v>2914</v>
      </c>
      <c r="P501" s="1020" t="s">
        <v>114</v>
      </c>
      <c r="Q501" s="547">
        <v>0.36059999999999998</v>
      </c>
      <c r="R501" s="553" t="s">
        <v>17</v>
      </c>
      <c r="S501" s="1034">
        <v>3718.59</v>
      </c>
      <c r="T501" s="12"/>
      <c r="U501" s="536"/>
      <c r="V501" s="536"/>
      <c r="W501" s="547"/>
      <c r="X501" s="536"/>
      <c r="Y501" s="537"/>
      <c r="Z501" s="536"/>
      <c r="AA501" s="536"/>
      <c r="AB501" s="536"/>
      <c r="AC501" s="47"/>
      <c r="AD501" s="50"/>
      <c r="AE501" s="537"/>
      <c r="AF501" s="12"/>
      <c r="AG501" s="536"/>
      <c r="AH501" s="536"/>
      <c r="AI501" s="547"/>
      <c r="AJ501" s="536"/>
      <c r="AK501" s="538"/>
      <c r="AL501" s="12"/>
      <c r="AM501" s="536"/>
      <c r="AN501" s="536"/>
      <c r="AO501" s="547"/>
      <c r="AP501" s="536"/>
      <c r="AQ501" s="538"/>
      <c r="AR501" s="530"/>
    </row>
    <row r="502" spans="1:44" ht="18.75">
      <c r="A502" s="1008"/>
      <c r="B502" s="1008"/>
      <c r="C502" s="1025"/>
      <c r="D502" s="1024"/>
      <c r="E502" s="1017"/>
      <c r="F502" s="1018"/>
      <c r="G502" s="1017"/>
      <c r="H502" s="536"/>
      <c r="I502" s="536"/>
      <c r="J502" s="536"/>
      <c r="K502" s="47"/>
      <c r="L502" s="50"/>
      <c r="M502" s="537"/>
      <c r="N502" s="903"/>
      <c r="O502" s="903"/>
      <c r="P502" s="1020"/>
      <c r="Q502" s="539">
        <f>Q501*G501/F501</f>
        <v>2921</v>
      </c>
      <c r="R502" s="43" t="s">
        <v>32</v>
      </c>
      <c r="S502" s="1035"/>
      <c r="T502" s="12"/>
      <c r="U502" s="536"/>
      <c r="V502" s="536"/>
      <c r="W502" s="547"/>
      <c r="X502" s="536"/>
      <c r="Y502" s="537"/>
      <c r="Z502" s="536"/>
      <c r="AA502" s="536"/>
      <c r="AB502" s="536"/>
      <c r="AC502" s="47"/>
      <c r="AD502" s="50"/>
      <c r="AE502" s="537"/>
      <c r="AF502" s="12"/>
      <c r="AG502" s="536"/>
      <c r="AH502" s="536"/>
      <c r="AI502" s="547"/>
      <c r="AJ502" s="536"/>
      <c r="AK502" s="538"/>
      <c r="AL502" s="12"/>
      <c r="AM502" s="536"/>
      <c r="AN502" s="536"/>
      <c r="AO502" s="547"/>
      <c r="AP502" s="536"/>
      <c r="AQ502" s="538"/>
      <c r="AR502" s="530"/>
    </row>
    <row r="503" spans="1:44" ht="18.75">
      <c r="A503" s="1008">
        <v>265</v>
      </c>
      <c r="B503" s="1008">
        <v>740121</v>
      </c>
      <c r="C503" s="1025" t="s">
        <v>392</v>
      </c>
      <c r="D503" s="1024">
        <v>0.55300000000000005</v>
      </c>
      <c r="E503" s="1017">
        <v>6085</v>
      </c>
      <c r="F503" s="1018">
        <v>0.55300000000000005</v>
      </c>
      <c r="G503" s="1017">
        <v>6085</v>
      </c>
      <c r="H503" s="536"/>
      <c r="I503" s="536"/>
      <c r="J503" s="536"/>
      <c r="K503" s="47"/>
      <c r="L503" s="50"/>
      <c r="M503" s="537"/>
      <c r="N503" s="903" t="s">
        <v>60</v>
      </c>
      <c r="O503" s="903" t="s">
        <v>2915</v>
      </c>
      <c r="P503" s="1020" t="s">
        <v>114</v>
      </c>
      <c r="Q503" s="547">
        <v>0.55300000000000005</v>
      </c>
      <c r="R503" s="553" t="s">
        <v>17</v>
      </c>
      <c r="S503" s="1034">
        <v>7746.54</v>
      </c>
      <c r="T503" s="12"/>
      <c r="U503" s="536"/>
      <c r="V503" s="536"/>
      <c r="W503" s="547"/>
      <c r="X503" s="536"/>
      <c r="Y503" s="537"/>
      <c r="Z503" s="536"/>
      <c r="AA503" s="536"/>
      <c r="AB503" s="536"/>
      <c r="AC503" s="47"/>
      <c r="AD503" s="50"/>
      <c r="AE503" s="537"/>
      <c r="AF503" s="12"/>
      <c r="AG503" s="536"/>
      <c r="AH503" s="536"/>
      <c r="AI503" s="547"/>
      <c r="AJ503" s="536"/>
      <c r="AK503" s="538"/>
      <c r="AL503" s="12"/>
      <c r="AM503" s="536"/>
      <c r="AN503" s="536"/>
      <c r="AO503" s="547"/>
      <c r="AP503" s="536"/>
      <c r="AQ503" s="538"/>
      <c r="AR503" s="530"/>
    </row>
    <row r="504" spans="1:44" ht="18.75">
      <c r="A504" s="1008"/>
      <c r="B504" s="1008"/>
      <c r="C504" s="1025"/>
      <c r="D504" s="1024"/>
      <c r="E504" s="1017"/>
      <c r="F504" s="1018"/>
      <c r="G504" s="1017"/>
      <c r="H504" s="536"/>
      <c r="I504" s="536"/>
      <c r="J504" s="536"/>
      <c r="K504" s="47"/>
      <c r="L504" s="50"/>
      <c r="M504" s="537"/>
      <c r="N504" s="903"/>
      <c r="O504" s="903"/>
      <c r="P504" s="1020"/>
      <c r="Q504" s="539">
        <f>Q503*G503/F503</f>
        <v>6085</v>
      </c>
      <c r="R504" s="43" t="s">
        <v>32</v>
      </c>
      <c r="S504" s="1035"/>
      <c r="T504" s="12"/>
      <c r="U504" s="536"/>
      <c r="V504" s="536"/>
      <c r="W504" s="547"/>
      <c r="X504" s="536"/>
      <c r="Y504" s="537"/>
      <c r="Z504" s="536"/>
      <c r="AA504" s="536"/>
      <c r="AB504" s="536"/>
      <c r="AC504" s="47"/>
      <c r="AD504" s="50"/>
      <c r="AE504" s="537"/>
      <c r="AF504" s="12"/>
      <c r="AG504" s="536"/>
      <c r="AH504" s="536"/>
      <c r="AI504" s="547"/>
      <c r="AJ504" s="536"/>
      <c r="AK504" s="538"/>
      <c r="AL504" s="12"/>
      <c r="AM504" s="536"/>
      <c r="AN504" s="536"/>
      <c r="AO504" s="547"/>
      <c r="AP504" s="536"/>
      <c r="AQ504" s="538"/>
      <c r="AR504" s="530"/>
    </row>
    <row r="505" spans="1:44" ht="18.75">
      <c r="A505" s="1008">
        <v>266</v>
      </c>
      <c r="B505" s="1008">
        <v>735586</v>
      </c>
      <c r="C505" s="1025" t="s">
        <v>393</v>
      </c>
      <c r="D505" s="1024">
        <v>0.93100000000000005</v>
      </c>
      <c r="E505" s="1017">
        <v>6425</v>
      </c>
      <c r="F505" s="1018">
        <v>0.93100000000000005</v>
      </c>
      <c r="G505" s="1017">
        <v>6425</v>
      </c>
      <c r="H505" s="536"/>
      <c r="I505" s="536"/>
      <c r="J505" s="536"/>
      <c r="K505" s="47"/>
      <c r="L505" s="50"/>
      <c r="M505" s="537"/>
      <c r="N505" s="903" t="s">
        <v>60</v>
      </c>
      <c r="O505" s="903" t="s">
        <v>2916</v>
      </c>
      <c r="P505" s="1020" t="s">
        <v>114</v>
      </c>
      <c r="Q505" s="547">
        <v>0.93100000000000005</v>
      </c>
      <c r="R505" s="553" t="s">
        <v>17</v>
      </c>
      <c r="S505" s="1034">
        <v>8180.03</v>
      </c>
      <c r="T505" s="12"/>
      <c r="U505" s="536"/>
      <c r="V505" s="536"/>
      <c r="W505" s="547"/>
      <c r="X505" s="536"/>
      <c r="Y505" s="537"/>
      <c r="Z505" s="536"/>
      <c r="AA505" s="536"/>
      <c r="AB505" s="536"/>
      <c r="AC505" s="47"/>
      <c r="AD505" s="50"/>
      <c r="AE505" s="537"/>
      <c r="AF505" s="12"/>
      <c r="AG505" s="536"/>
      <c r="AH505" s="536"/>
      <c r="AI505" s="547"/>
      <c r="AJ505" s="536"/>
      <c r="AK505" s="538"/>
      <c r="AL505" s="12"/>
      <c r="AM505" s="536"/>
      <c r="AN505" s="536"/>
      <c r="AO505" s="547"/>
      <c r="AP505" s="536"/>
      <c r="AQ505" s="538"/>
      <c r="AR505" s="530"/>
    </row>
    <row r="506" spans="1:44" ht="18.75">
      <c r="A506" s="1008"/>
      <c r="B506" s="1008"/>
      <c r="C506" s="1025"/>
      <c r="D506" s="1024"/>
      <c r="E506" s="1017"/>
      <c r="F506" s="1018"/>
      <c r="G506" s="1017"/>
      <c r="H506" s="536"/>
      <c r="I506" s="536"/>
      <c r="J506" s="536"/>
      <c r="K506" s="47"/>
      <c r="L506" s="50"/>
      <c r="M506" s="537"/>
      <c r="N506" s="903"/>
      <c r="O506" s="903"/>
      <c r="P506" s="1020"/>
      <c r="Q506" s="539">
        <f>Q505*G505/F505</f>
        <v>6425</v>
      </c>
      <c r="R506" s="43" t="s">
        <v>32</v>
      </c>
      <c r="S506" s="1035"/>
      <c r="T506" s="12"/>
      <c r="U506" s="536"/>
      <c r="V506" s="536"/>
      <c r="W506" s="547"/>
      <c r="X506" s="536"/>
      <c r="Y506" s="537"/>
      <c r="Z506" s="536"/>
      <c r="AA506" s="536"/>
      <c r="AB506" s="536"/>
      <c r="AC506" s="47"/>
      <c r="AD506" s="50"/>
      <c r="AE506" s="537"/>
      <c r="AF506" s="12"/>
      <c r="AG506" s="536"/>
      <c r="AH506" s="536"/>
      <c r="AI506" s="547"/>
      <c r="AJ506" s="536"/>
      <c r="AK506" s="538"/>
      <c r="AL506" s="12"/>
      <c r="AM506" s="536"/>
      <c r="AN506" s="536"/>
      <c r="AO506" s="547"/>
      <c r="AP506" s="536"/>
      <c r="AQ506" s="538"/>
      <c r="AR506" s="530"/>
    </row>
    <row r="507" spans="1:44" ht="18.75">
      <c r="A507" s="1008">
        <v>267</v>
      </c>
      <c r="B507" s="1008">
        <v>737573</v>
      </c>
      <c r="C507" s="1025" t="s">
        <v>394</v>
      </c>
      <c r="D507" s="1024">
        <v>0.56699999999999995</v>
      </c>
      <c r="E507" s="1017">
        <v>5107</v>
      </c>
      <c r="F507" s="1018">
        <v>0.56699999999999995</v>
      </c>
      <c r="G507" s="1017">
        <v>5107</v>
      </c>
      <c r="H507" s="536"/>
      <c r="I507" s="536"/>
      <c r="J507" s="536"/>
      <c r="K507" s="47"/>
      <c r="L507" s="50"/>
      <c r="M507" s="537"/>
      <c r="N507" s="903" t="s">
        <v>60</v>
      </c>
      <c r="O507" s="903" t="s">
        <v>2917</v>
      </c>
      <c r="P507" s="1020" t="s">
        <v>114</v>
      </c>
      <c r="Q507" s="547">
        <v>0.42199999999999999</v>
      </c>
      <c r="R507" s="553" t="s">
        <v>17</v>
      </c>
      <c r="S507" s="1034">
        <v>4837.7700000000004</v>
      </c>
      <c r="T507" s="12"/>
      <c r="U507" s="536"/>
      <c r="V507" s="536"/>
      <c r="W507" s="547"/>
      <c r="X507" s="536"/>
      <c r="Y507" s="537"/>
      <c r="Z507" s="536"/>
      <c r="AA507" s="536"/>
      <c r="AB507" s="536"/>
      <c r="AC507" s="47"/>
      <c r="AD507" s="50"/>
      <c r="AE507" s="537"/>
      <c r="AF507" s="12"/>
      <c r="AG507" s="536"/>
      <c r="AH507" s="536"/>
      <c r="AI507" s="547"/>
      <c r="AJ507" s="536"/>
      <c r="AK507" s="538"/>
      <c r="AL507" s="12"/>
      <c r="AM507" s="536"/>
      <c r="AN507" s="536"/>
      <c r="AO507" s="547"/>
      <c r="AP507" s="536"/>
      <c r="AQ507" s="538"/>
      <c r="AR507" s="530"/>
    </row>
    <row r="508" spans="1:44" ht="18.75">
      <c r="A508" s="1008"/>
      <c r="B508" s="1008"/>
      <c r="C508" s="1025"/>
      <c r="D508" s="1024"/>
      <c r="E508" s="1017"/>
      <c r="F508" s="1018"/>
      <c r="G508" s="1017"/>
      <c r="H508" s="536"/>
      <c r="I508" s="536"/>
      <c r="J508" s="536"/>
      <c r="K508" s="47"/>
      <c r="L508" s="50"/>
      <c r="M508" s="537"/>
      <c r="N508" s="903"/>
      <c r="O508" s="903"/>
      <c r="P508" s="1020"/>
      <c r="Q508" s="539">
        <f>Q507*G507/F507</f>
        <v>3800.9770723104061</v>
      </c>
      <c r="R508" s="43" t="s">
        <v>32</v>
      </c>
      <c r="S508" s="1035"/>
      <c r="T508" s="12"/>
      <c r="U508" s="536"/>
      <c r="V508" s="536"/>
      <c r="W508" s="547"/>
      <c r="X508" s="536"/>
      <c r="Y508" s="537"/>
      <c r="Z508" s="536"/>
      <c r="AA508" s="536"/>
      <c r="AB508" s="536"/>
      <c r="AC508" s="47"/>
      <c r="AD508" s="50"/>
      <c r="AE508" s="537"/>
      <c r="AF508" s="12"/>
      <c r="AG508" s="536"/>
      <c r="AH508" s="536"/>
      <c r="AI508" s="547"/>
      <c r="AJ508" s="536"/>
      <c r="AK508" s="538"/>
      <c r="AL508" s="12"/>
      <c r="AM508" s="536"/>
      <c r="AN508" s="536"/>
      <c r="AO508" s="547"/>
      <c r="AP508" s="536"/>
      <c r="AQ508" s="538"/>
      <c r="AR508" s="530"/>
    </row>
    <row r="509" spans="1:44" ht="18.75">
      <c r="A509" s="1008">
        <v>268</v>
      </c>
      <c r="B509" s="1008">
        <v>735608</v>
      </c>
      <c r="C509" s="1025" t="s">
        <v>395</v>
      </c>
      <c r="D509" s="1024">
        <v>0.98499999999999999</v>
      </c>
      <c r="E509" s="1017">
        <v>9325</v>
      </c>
      <c r="F509" s="1018">
        <v>0.98499999999999999</v>
      </c>
      <c r="G509" s="1017">
        <v>9325</v>
      </c>
      <c r="H509" s="536"/>
      <c r="I509" s="536"/>
      <c r="J509" s="536"/>
      <c r="K509" s="47"/>
      <c r="L509" s="50"/>
      <c r="M509" s="537"/>
      <c r="N509" s="903" t="s">
        <v>60</v>
      </c>
      <c r="O509" s="903" t="s">
        <v>2918</v>
      </c>
      <c r="P509" s="1020" t="s">
        <v>114</v>
      </c>
      <c r="Q509" s="547">
        <v>0.98499999999999999</v>
      </c>
      <c r="R509" s="553" t="s">
        <v>17</v>
      </c>
      <c r="S509" s="1034">
        <v>11839.8</v>
      </c>
      <c r="T509" s="12"/>
      <c r="U509" s="536"/>
      <c r="V509" s="536"/>
      <c r="W509" s="547"/>
      <c r="X509" s="536"/>
      <c r="Y509" s="537"/>
      <c r="Z509" s="536"/>
      <c r="AA509" s="536"/>
      <c r="AB509" s="536"/>
      <c r="AC509" s="47"/>
      <c r="AD509" s="50"/>
      <c r="AE509" s="537"/>
      <c r="AF509" s="12"/>
      <c r="AG509" s="536"/>
      <c r="AH509" s="536"/>
      <c r="AI509" s="547"/>
      <c r="AJ509" s="536"/>
      <c r="AK509" s="538"/>
      <c r="AL509" s="12"/>
      <c r="AM509" s="536"/>
      <c r="AN509" s="536"/>
      <c r="AO509" s="547"/>
      <c r="AP509" s="536"/>
      <c r="AQ509" s="538"/>
      <c r="AR509" s="530"/>
    </row>
    <row r="510" spans="1:44" ht="18.75">
      <c r="A510" s="1008"/>
      <c r="B510" s="1008"/>
      <c r="C510" s="1025"/>
      <c r="D510" s="1024"/>
      <c r="E510" s="1017"/>
      <c r="F510" s="1018"/>
      <c r="G510" s="1017"/>
      <c r="H510" s="536"/>
      <c r="I510" s="536"/>
      <c r="J510" s="536"/>
      <c r="K510" s="47"/>
      <c r="L510" s="50"/>
      <c r="M510" s="537"/>
      <c r="N510" s="903"/>
      <c r="O510" s="903"/>
      <c r="P510" s="1020"/>
      <c r="Q510" s="539">
        <f>Q509*G509/F509</f>
        <v>9325</v>
      </c>
      <c r="R510" s="43" t="s">
        <v>32</v>
      </c>
      <c r="S510" s="1035"/>
      <c r="T510" s="12"/>
      <c r="U510" s="536"/>
      <c r="V510" s="536"/>
      <c r="W510" s="547"/>
      <c r="X510" s="536"/>
      <c r="Y510" s="537"/>
      <c r="Z510" s="536"/>
      <c r="AA510" s="536"/>
      <c r="AB510" s="536"/>
      <c r="AC510" s="47"/>
      <c r="AD510" s="50"/>
      <c r="AE510" s="537"/>
      <c r="AF510" s="12"/>
      <c r="AG510" s="536"/>
      <c r="AH510" s="536"/>
      <c r="AI510" s="547"/>
      <c r="AJ510" s="536"/>
      <c r="AK510" s="538"/>
      <c r="AL510" s="12"/>
      <c r="AM510" s="536"/>
      <c r="AN510" s="536"/>
      <c r="AO510" s="547"/>
      <c r="AP510" s="536"/>
      <c r="AQ510" s="538"/>
      <c r="AR510" s="530"/>
    </row>
    <row r="511" spans="1:44" ht="18.75">
      <c r="A511" s="1008">
        <v>269</v>
      </c>
      <c r="B511" s="1008">
        <v>735585</v>
      </c>
      <c r="C511" s="1025" t="s">
        <v>396</v>
      </c>
      <c r="D511" s="1024">
        <v>0.81499999999999995</v>
      </c>
      <c r="E511" s="1017">
        <v>7332</v>
      </c>
      <c r="F511" s="1018">
        <v>0.81499999999999995</v>
      </c>
      <c r="G511" s="1017">
        <v>7332</v>
      </c>
      <c r="H511" s="536"/>
      <c r="I511" s="536"/>
      <c r="J511" s="536"/>
      <c r="K511" s="47"/>
      <c r="L511" s="50"/>
      <c r="M511" s="537"/>
      <c r="N511" s="903" t="s">
        <v>60</v>
      </c>
      <c r="O511" s="903" t="s">
        <v>2919</v>
      </c>
      <c r="P511" s="1020" t="s">
        <v>114</v>
      </c>
      <c r="Q511" s="547">
        <v>0.33300000000000002</v>
      </c>
      <c r="R511" s="553" t="s">
        <v>17</v>
      </c>
      <c r="S511" s="1034">
        <v>3819.29</v>
      </c>
      <c r="T511" s="12"/>
      <c r="U511" s="536"/>
      <c r="V511" s="536"/>
      <c r="W511" s="547"/>
      <c r="X511" s="536"/>
      <c r="Y511" s="537"/>
      <c r="Z511" s="536"/>
      <c r="AA511" s="536"/>
      <c r="AB511" s="536"/>
      <c r="AC511" s="47"/>
      <c r="AD511" s="50"/>
      <c r="AE511" s="537"/>
      <c r="AF511" s="12"/>
      <c r="AG511" s="536"/>
      <c r="AH511" s="536"/>
      <c r="AI511" s="547"/>
      <c r="AJ511" s="536"/>
      <c r="AK511" s="538"/>
      <c r="AL511" s="12"/>
      <c r="AM511" s="536"/>
      <c r="AN511" s="536"/>
      <c r="AO511" s="547"/>
      <c r="AP511" s="536"/>
      <c r="AQ511" s="538"/>
      <c r="AR511" s="530"/>
    </row>
    <row r="512" spans="1:44" ht="18.75">
      <c r="A512" s="1008"/>
      <c r="B512" s="1008"/>
      <c r="C512" s="1025"/>
      <c r="D512" s="1024"/>
      <c r="E512" s="1017"/>
      <c r="F512" s="1018"/>
      <c r="G512" s="1017"/>
      <c r="H512" s="536"/>
      <c r="I512" s="536"/>
      <c r="J512" s="536"/>
      <c r="K512" s="47"/>
      <c r="L512" s="50"/>
      <c r="M512" s="537"/>
      <c r="N512" s="903"/>
      <c r="O512" s="903"/>
      <c r="P512" s="1020"/>
      <c r="Q512" s="539">
        <v>3000</v>
      </c>
      <c r="R512" s="43" t="s">
        <v>32</v>
      </c>
      <c r="S512" s="1035"/>
      <c r="T512" s="12"/>
      <c r="U512" s="536"/>
      <c r="V512" s="536"/>
      <c r="W512" s="547"/>
      <c r="X512" s="536"/>
      <c r="Y512" s="537"/>
      <c r="Z512" s="536"/>
      <c r="AA512" s="536"/>
      <c r="AB512" s="536"/>
      <c r="AC512" s="47"/>
      <c r="AD512" s="50"/>
      <c r="AE512" s="537"/>
      <c r="AF512" s="12"/>
      <c r="AG512" s="536"/>
      <c r="AH512" s="536"/>
      <c r="AI512" s="547"/>
      <c r="AJ512" s="536"/>
      <c r="AK512" s="538"/>
      <c r="AL512" s="12"/>
      <c r="AM512" s="536"/>
      <c r="AN512" s="536"/>
      <c r="AO512" s="547"/>
      <c r="AP512" s="536"/>
      <c r="AQ512" s="538"/>
      <c r="AR512" s="530"/>
    </row>
    <row r="513" spans="1:44" ht="18.75">
      <c r="A513" s="1008">
        <v>270</v>
      </c>
      <c r="B513" s="1008">
        <v>742995</v>
      </c>
      <c r="C513" s="1025" t="s">
        <v>397</v>
      </c>
      <c r="D513" s="1024">
        <v>0.14799999999999999</v>
      </c>
      <c r="E513" s="1017">
        <v>1684</v>
      </c>
      <c r="F513" s="1018">
        <v>0.14799999999999999</v>
      </c>
      <c r="G513" s="1017">
        <v>1684</v>
      </c>
      <c r="H513" s="536"/>
      <c r="I513" s="536"/>
      <c r="J513" s="536"/>
      <c r="K513" s="47"/>
      <c r="L513" s="50"/>
      <c r="M513" s="537"/>
      <c r="N513" s="903" t="s">
        <v>60</v>
      </c>
      <c r="O513" s="903" t="s">
        <v>2920</v>
      </c>
      <c r="P513" s="1020" t="s">
        <v>114</v>
      </c>
      <c r="Q513" s="547">
        <v>0.14799999999999999</v>
      </c>
      <c r="R513" s="553" t="s">
        <v>17</v>
      </c>
      <c r="S513" s="1034">
        <f>8911.68/0.709*Q513</f>
        <v>1860.2660648801129</v>
      </c>
      <c r="T513" s="12"/>
      <c r="U513" s="536"/>
      <c r="V513" s="536"/>
      <c r="W513" s="547"/>
      <c r="X513" s="536"/>
      <c r="Y513" s="537"/>
      <c r="Z513" s="536"/>
      <c r="AA513" s="536"/>
      <c r="AB513" s="536"/>
      <c r="AC513" s="47"/>
      <c r="AD513" s="50"/>
      <c r="AE513" s="537"/>
      <c r="AF513" s="12"/>
      <c r="AG513" s="536"/>
      <c r="AH513" s="536"/>
      <c r="AI513" s="547"/>
      <c r="AJ513" s="536"/>
      <c r="AK513" s="538"/>
      <c r="AL513" s="12"/>
      <c r="AM513" s="536"/>
      <c r="AN513" s="536"/>
      <c r="AO513" s="547"/>
      <c r="AP513" s="536"/>
      <c r="AQ513" s="538"/>
      <c r="AR513" s="530"/>
    </row>
    <row r="514" spans="1:44" ht="18.75">
      <c r="A514" s="1008"/>
      <c r="B514" s="1008"/>
      <c r="C514" s="1025"/>
      <c r="D514" s="1024"/>
      <c r="E514" s="1017"/>
      <c r="F514" s="1018"/>
      <c r="G514" s="1017"/>
      <c r="H514" s="536"/>
      <c r="I514" s="536"/>
      <c r="J514" s="536"/>
      <c r="K514" s="47"/>
      <c r="L514" s="50"/>
      <c r="M514" s="537"/>
      <c r="N514" s="903"/>
      <c r="O514" s="903"/>
      <c r="P514" s="1020"/>
      <c r="Q514" s="539">
        <f>Q513*G513/F513</f>
        <v>1684</v>
      </c>
      <c r="R514" s="43" t="s">
        <v>32</v>
      </c>
      <c r="S514" s="1035"/>
      <c r="T514" s="12"/>
      <c r="U514" s="536"/>
      <c r="V514" s="536"/>
      <c r="W514" s="547"/>
      <c r="X514" s="536"/>
      <c r="Y514" s="537"/>
      <c r="Z514" s="536"/>
      <c r="AA514" s="536"/>
      <c r="AB514" s="536"/>
      <c r="AC514" s="47"/>
      <c r="AD514" s="50"/>
      <c r="AE514" s="537"/>
      <c r="AF514" s="12"/>
      <c r="AG514" s="536"/>
      <c r="AH514" s="536"/>
      <c r="AI514" s="547"/>
      <c r="AJ514" s="536"/>
      <c r="AK514" s="538"/>
      <c r="AL514" s="12"/>
      <c r="AM514" s="536"/>
      <c r="AN514" s="536"/>
      <c r="AO514" s="547"/>
      <c r="AP514" s="536"/>
      <c r="AQ514" s="538"/>
      <c r="AR514" s="530"/>
    </row>
    <row r="515" spans="1:44" ht="41.25" customHeight="1">
      <c r="A515" s="1008">
        <v>271</v>
      </c>
      <c r="B515" s="1008">
        <v>739789</v>
      </c>
      <c r="C515" s="1025" t="s">
        <v>398</v>
      </c>
      <c r="D515" s="1024">
        <v>0.38800000000000001</v>
      </c>
      <c r="E515" s="1017">
        <v>3378</v>
      </c>
      <c r="F515" s="1018">
        <v>0.38800000000000001</v>
      </c>
      <c r="G515" s="1017">
        <v>3378</v>
      </c>
      <c r="H515" s="536"/>
      <c r="I515" s="536"/>
      <c r="J515" s="536"/>
      <c r="K515" s="47"/>
      <c r="L515" s="50"/>
      <c r="M515" s="537"/>
      <c r="N515" s="903" t="s">
        <v>60</v>
      </c>
      <c r="O515" s="903" t="s">
        <v>2921</v>
      </c>
      <c r="P515" s="1020" t="s">
        <v>114</v>
      </c>
      <c r="Q515" s="547">
        <v>0.38800000000000001</v>
      </c>
      <c r="R515" s="553" t="s">
        <v>17</v>
      </c>
      <c r="S515" s="1034">
        <f>10184.77/7954*Q516</f>
        <v>4325.3901257229072</v>
      </c>
      <c r="T515" s="12"/>
      <c r="U515" s="536"/>
      <c r="V515" s="536"/>
      <c r="W515" s="547"/>
      <c r="X515" s="536"/>
      <c r="Y515" s="537"/>
      <c r="Z515" s="536"/>
      <c r="AA515" s="536"/>
      <c r="AB515" s="536"/>
      <c r="AC515" s="47"/>
      <c r="AD515" s="50"/>
      <c r="AE515" s="537"/>
      <c r="AF515" s="12"/>
      <c r="AG515" s="536"/>
      <c r="AH515" s="536"/>
      <c r="AI515" s="547"/>
      <c r="AJ515" s="536"/>
      <c r="AK515" s="538"/>
      <c r="AL515" s="12"/>
      <c r="AM515" s="536"/>
      <c r="AN515" s="536"/>
      <c r="AO515" s="547"/>
      <c r="AP515" s="536"/>
      <c r="AQ515" s="538"/>
      <c r="AR515" s="530"/>
    </row>
    <row r="516" spans="1:44" ht="41.25" customHeight="1">
      <c r="A516" s="1008"/>
      <c r="B516" s="1008"/>
      <c r="C516" s="1025"/>
      <c r="D516" s="1024"/>
      <c r="E516" s="1017"/>
      <c r="F516" s="1018"/>
      <c r="G516" s="1017"/>
      <c r="H516" s="536"/>
      <c r="I516" s="536"/>
      <c r="J516" s="536"/>
      <c r="K516" s="47"/>
      <c r="L516" s="50"/>
      <c r="M516" s="537"/>
      <c r="N516" s="903"/>
      <c r="O516" s="903"/>
      <c r="P516" s="1020"/>
      <c r="Q516" s="539">
        <f>Q515*G515/F515</f>
        <v>3378</v>
      </c>
      <c r="R516" s="43" t="s">
        <v>32</v>
      </c>
      <c r="S516" s="1035"/>
      <c r="T516" s="12"/>
      <c r="U516" s="536"/>
      <c r="V516" s="536"/>
      <c r="W516" s="547"/>
      <c r="X516" s="536"/>
      <c r="Y516" s="537"/>
      <c r="Z516" s="536"/>
      <c r="AA516" s="536"/>
      <c r="AB516" s="536"/>
      <c r="AC516" s="47"/>
      <c r="AD516" s="50"/>
      <c r="AE516" s="537"/>
      <c r="AF516" s="12"/>
      <c r="AG516" s="536"/>
      <c r="AH516" s="536"/>
      <c r="AI516" s="547"/>
      <c r="AJ516" s="536"/>
      <c r="AK516" s="538"/>
      <c r="AL516" s="12"/>
      <c r="AM516" s="536"/>
      <c r="AN516" s="536"/>
      <c r="AO516" s="547"/>
      <c r="AP516" s="536"/>
      <c r="AQ516" s="538"/>
      <c r="AR516" s="530"/>
    </row>
    <row r="517" spans="1:44" ht="32.25" customHeight="1">
      <c r="A517" s="1008">
        <v>272</v>
      </c>
      <c r="B517" s="1008">
        <v>737892</v>
      </c>
      <c r="C517" s="1025" t="s">
        <v>399</v>
      </c>
      <c r="D517" s="1024">
        <v>1.0449999999999999</v>
      </c>
      <c r="E517" s="1017">
        <v>7731</v>
      </c>
      <c r="F517" s="1018">
        <v>1.0449999999999999</v>
      </c>
      <c r="G517" s="1017">
        <v>7731</v>
      </c>
      <c r="H517" s="536"/>
      <c r="I517" s="536"/>
      <c r="J517" s="536"/>
      <c r="K517" s="47"/>
      <c r="L517" s="50"/>
      <c r="M517" s="537"/>
      <c r="N517" s="903" t="s">
        <v>60</v>
      </c>
      <c r="O517" s="903" t="s">
        <v>2922</v>
      </c>
      <c r="P517" s="1020" t="s">
        <v>114</v>
      </c>
      <c r="Q517" s="547">
        <v>1.0449999999999999</v>
      </c>
      <c r="R517" s="553" t="s">
        <v>17</v>
      </c>
      <c r="S517" s="1034">
        <v>9842.06</v>
      </c>
      <c r="T517" s="12"/>
      <c r="U517" s="536"/>
      <c r="V517" s="536"/>
      <c r="W517" s="547"/>
      <c r="X517" s="536"/>
      <c r="Y517" s="537"/>
      <c r="Z517" s="536"/>
      <c r="AA517" s="536"/>
      <c r="AB517" s="536"/>
      <c r="AC517" s="47"/>
      <c r="AD517" s="50"/>
      <c r="AE517" s="537"/>
      <c r="AF517" s="12"/>
      <c r="AG517" s="536"/>
      <c r="AH517" s="536"/>
      <c r="AI517" s="547"/>
      <c r="AJ517" s="536"/>
      <c r="AK517" s="538"/>
      <c r="AL517" s="12"/>
      <c r="AM517" s="536"/>
      <c r="AN517" s="536"/>
      <c r="AO517" s="547"/>
      <c r="AP517" s="536"/>
      <c r="AQ517" s="538"/>
      <c r="AR517" s="530"/>
    </row>
    <row r="518" spans="1:44" ht="32.25" customHeight="1">
      <c r="A518" s="1008"/>
      <c r="B518" s="1008"/>
      <c r="C518" s="1025"/>
      <c r="D518" s="1024"/>
      <c r="E518" s="1017"/>
      <c r="F518" s="1018"/>
      <c r="G518" s="1017"/>
      <c r="H518" s="536"/>
      <c r="I518" s="536"/>
      <c r="J518" s="536"/>
      <c r="K518" s="47"/>
      <c r="L518" s="50"/>
      <c r="M518" s="537"/>
      <c r="N518" s="903"/>
      <c r="O518" s="903"/>
      <c r="P518" s="1020"/>
      <c r="Q518" s="539">
        <v>7731</v>
      </c>
      <c r="R518" s="43" t="s">
        <v>32</v>
      </c>
      <c r="S518" s="1035"/>
      <c r="T518" s="12"/>
      <c r="U518" s="536"/>
      <c r="V518" s="536"/>
      <c r="W518" s="547"/>
      <c r="X518" s="536"/>
      <c r="Y518" s="537"/>
      <c r="Z518" s="536"/>
      <c r="AA518" s="536"/>
      <c r="AB518" s="536"/>
      <c r="AC518" s="47"/>
      <c r="AD518" s="50"/>
      <c r="AE518" s="537"/>
      <c r="AF518" s="12"/>
      <c r="AG518" s="536"/>
      <c r="AH518" s="536"/>
      <c r="AI518" s="547"/>
      <c r="AJ518" s="536"/>
      <c r="AK518" s="538"/>
      <c r="AL518" s="12"/>
      <c r="AM518" s="536"/>
      <c r="AN518" s="536"/>
      <c r="AO518" s="547"/>
      <c r="AP518" s="536"/>
      <c r="AQ518" s="538"/>
      <c r="AR518" s="530"/>
    </row>
    <row r="519" spans="1:44" ht="18.75">
      <c r="A519" s="1008">
        <v>273</v>
      </c>
      <c r="B519" s="1008">
        <v>741091</v>
      </c>
      <c r="C519" s="1025" t="s">
        <v>400</v>
      </c>
      <c r="D519" s="1024">
        <v>0.21099999999999999</v>
      </c>
      <c r="E519" s="1017">
        <v>1309</v>
      </c>
      <c r="F519" s="1018">
        <v>0.21099999999999999</v>
      </c>
      <c r="G519" s="1017">
        <v>1309</v>
      </c>
      <c r="H519" s="536"/>
      <c r="I519" s="536"/>
      <c r="J519" s="536"/>
      <c r="K519" s="47"/>
      <c r="L519" s="50"/>
      <c r="M519" s="537"/>
      <c r="N519" s="903" t="s">
        <v>60</v>
      </c>
      <c r="O519" s="903" t="s">
        <v>2923</v>
      </c>
      <c r="P519" s="1020" t="s">
        <v>114</v>
      </c>
      <c r="Q519" s="547">
        <v>0.21099999999999999</v>
      </c>
      <c r="R519" s="553" t="s">
        <v>17</v>
      </c>
      <c r="S519" s="1034">
        <v>1666.99</v>
      </c>
      <c r="T519" s="12"/>
      <c r="U519" s="536"/>
      <c r="V519" s="536"/>
      <c r="W519" s="547"/>
      <c r="X519" s="536"/>
      <c r="Y519" s="537"/>
      <c r="Z519" s="536"/>
      <c r="AA519" s="536"/>
      <c r="AB519" s="536"/>
      <c r="AC519" s="47"/>
      <c r="AD519" s="50"/>
      <c r="AE519" s="537"/>
      <c r="AF519" s="12"/>
      <c r="AG519" s="536"/>
      <c r="AH519" s="536"/>
      <c r="AI519" s="547"/>
      <c r="AJ519" s="536"/>
      <c r="AK519" s="538"/>
      <c r="AL519" s="12"/>
      <c r="AM519" s="536"/>
      <c r="AN519" s="536"/>
      <c r="AO519" s="547"/>
      <c r="AP519" s="536"/>
      <c r="AQ519" s="538"/>
      <c r="AR519" s="530"/>
    </row>
    <row r="520" spans="1:44" ht="18.75">
      <c r="A520" s="1008"/>
      <c r="B520" s="1008"/>
      <c r="C520" s="1025"/>
      <c r="D520" s="1024"/>
      <c r="E520" s="1017"/>
      <c r="F520" s="1018"/>
      <c r="G520" s="1017"/>
      <c r="H520" s="536"/>
      <c r="I520" s="536"/>
      <c r="J520" s="536"/>
      <c r="K520" s="47"/>
      <c r="L520" s="50"/>
      <c r="M520" s="537"/>
      <c r="N520" s="903"/>
      <c r="O520" s="903"/>
      <c r="P520" s="1020"/>
      <c r="Q520" s="539">
        <f>Q519*G519/F519</f>
        <v>1309</v>
      </c>
      <c r="R520" s="43" t="s">
        <v>32</v>
      </c>
      <c r="S520" s="1035"/>
      <c r="T520" s="12"/>
      <c r="U520" s="536"/>
      <c r="V520" s="536"/>
      <c r="W520" s="547"/>
      <c r="X520" s="536"/>
      <c r="Y520" s="537"/>
      <c r="Z520" s="536"/>
      <c r="AA520" s="536"/>
      <c r="AB520" s="536"/>
      <c r="AC520" s="47"/>
      <c r="AD520" s="50"/>
      <c r="AE520" s="537"/>
      <c r="AF520" s="12"/>
      <c r="AG520" s="536"/>
      <c r="AH520" s="536"/>
      <c r="AI520" s="547"/>
      <c r="AJ520" s="536"/>
      <c r="AK520" s="538"/>
      <c r="AL520" s="12"/>
      <c r="AM520" s="536"/>
      <c r="AN520" s="536"/>
      <c r="AO520" s="547"/>
      <c r="AP520" s="536"/>
      <c r="AQ520" s="538"/>
      <c r="AR520" s="530"/>
    </row>
    <row r="521" spans="1:44" ht="18.75">
      <c r="A521" s="1008">
        <v>274</v>
      </c>
      <c r="B521" s="1008">
        <v>741092</v>
      </c>
      <c r="C521" s="1025" t="s">
        <v>401</v>
      </c>
      <c r="D521" s="1024">
        <v>0.186</v>
      </c>
      <c r="E521" s="1017">
        <v>1135</v>
      </c>
      <c r="F521" s="1018">
        <v>0.186</v>
      </c>
      <c r="G521" s="1017">
        <v>1135</v>
      </c>
      <c r="H521" s="536"/>
      <c r="I521" s="536"/>
      <c r="J521" s="536"/>
      <c r="K521" s="47"/>
      <c r="L521" s="50"/>
      <c r="M521" s="537"/>
      <c r="N521" s="903" t="s">
        <v>60</v>
      </c>
      <c r="O521" s="903" t="s">
        <v>2924</v>
      </c>
      <c r="P521" s="1020" t="s">
        <v>114</v>
      </c>
      <c r="Q521" s="547">
        <v>0.186</v>
      </c>
      <c r="R521" s="553" t="s">
        <v>17</v>
      </c>
      <c r="S521" s="1034">
        <v>1445.22</v>
      </c>
      <c r="T521" s="12"/>
      <c r="U521" s="536"/>
      <c r="V521" s="536"/>
      <c r="W521" s="547"/>
      <c r="X521" s="536"/>
      <c r="Y521" s="537"/>
      <c r="Z521" s="536"/>
      <c r="AA521" s="536"/>
      <c r="AB521" s="536"/>
      <c r="AC521" s="47"/>
      <c r="AD521" s="50"/>
      <c r="AE521" s="537"/>
      <c r="AF521" s="12"/>
      <c r="AG521" s="536"/>
      <c r="AH521" s="536"/>
      <c r="AI521" s="547"/>
      <c r="AJ521" s="536"/>
      <c r="AK521" s="538"/>
      <c r="AL521" s="12"/>
      <c r="AM521" s="536"/>
      <c r="AN521" s="536"/>
      <c r="AO521" s="547"/>
      <c r="AP521" s="536"/>
      <c r="AQ521" s="538"/>
      <c r="AR521" s="530"/>
    </row>
    <row r="522" spans="1:44" ht="18.75">
      <c r="A522" s="1008"/>
      <c r="B522" s="1008"/>
      <c r="C522" s="1025"/>
      <c r="D522" s="1024"/>
      <c r="E522" s="1017"/>
      <c r="F522" s="1018"/>
      <c r="G522" s="1017"/>
      <c r="H522" s="536"/>
      <c r="I522" s="536"/>
      <c r="J522" s="536"/>
      <c r="K522" s="47"/>
      <c r="L522" s="50"/>
      <c r="M522" s="537"/>
      <c r="N522" s="903"/>
      <c r="O522" s="903"/>
      <c r="P522" s="1020"/>
      <c r="Q522" s="539">
        <f>Q521*G521/F521</f>
        <v>1135</v>
      </c>
      <c r="R522" s="43" t="s">
        <v>32</v>
      </c>
      <c r="S522" s="1035"/>
      <c r="T522" s="12"/>
      <c r="U522" s="536"/>
      <c r="V522" s="536"/>
      <c r="W522" s="547"/>
      <c r="X522" s="536"/>
      <c r="Y522" s="537"/>
      <c r="Z522" s="536"/>
      <c r="AA522" s="536"/>
      <c r="AB522" s="536"/>
      <c r="AC522" s="47"/>
      <c r="AD522" s="50"/>
      <c r="AE522" s="537"/>
      <c r="AF522" s="12"/>
      <c r="AG522" s="536"/>
      <c r="AH522" s="536"/>
      <c r="AI522" s="547"/>
      <c r="AJ522" s="536"/>
      <c r="AK522" s="538"/>
      <c r="AL522" s="12"/>
      <c r="AM522" s="536"/>
      <c r="AN522" s="536"/>
      <c r="AO522" s="547"/>
      <c r="AP522" s="536"/>
      <c r="AQ522" s="538"/>
      <c r="AR522" s="530"/>
    </row>
    <row r="523" spans="1:44" ht="18.75">
      <c r="A523" s="1008">
        <v>275</v>
      </c>
      <c r="B523" s="1008">
        <v>741093</v>
      </c>
      <c r="C523" s="1025" t="s">
        <v>402</v>
      </c>
      <c r="D523" s="1024">
        <v>0.29599999999999999</v>
      </c>
      <c r="E523" s="1017">
        <v>2394</v>
      </c>
      <c r="F523" s="1018">
        <v>0.29599999999999999</v>
      </c>
      <c r="G523" s="1017">
        <v>2394</v>
      </c>
      <c r="H523" s="536"/>
      <c r="I523" s="536"/>
      <c r="J523" s="536"/>
      <c r="K523" s="47"/>
      <c r="L523" s="50"/>
      <c r="M523" s="537"/>
      <c r="N523" s="903" t="s">
        <v>60</v>
      </c>
      <c r="O523" s="903" t="s">
        <v>2925</v>
      </c>
      <c r="P523" s="1020" t="s">
        <v>114</v>
      </c>
      <c r="Q523" s="547">
        <v>0.29599999999999999</v>
      </c>
      <c r="R523" s="553" t="s">
        <v>17</v>
      </c>
      <c r="S523" s="1034">
        <v>3047.28</v>
      </c>
      <c r="T523" s="12"/>
      <c r="U523" s="536"/>
      <c r="V523" s="536"/>
      <c r="W523" s="547"/>
      <c r="X523" s="536"/>
      <c r="Y523" s="537"/>
      <c r="Z523" s="536"/>
      <c r="AA523" s="536"/>
      <c r="AB523" s="536"/>
      <c r="AC523" s="47"/>
      <c r="AD523" s="50"/>
      <c r="AE523" s="537"/>
      <c r="AF523" s="12"/>
      <c r="AG523" s="536"/>
      <c r="AH523" s="536"/>
      <c r="AI523" s="547"/>
      <c r="AJ523" s="536"/>
      <c r="AK523" s="538"/>
      <c r="AL523" s="12"/>
      <c r="AM523" s="536"/>
      <c r="AN523" s="536"/>
      <c r="AO523" s="547"/>
      <c r="AP523" s="536"/>
      <c r="AQ523" s="538"/>
      <c r="AR523" s="530"/>
    </row>
    <row r="524" spans="1:44" ht="18.75">
      <c r="A524" s="1008"/>
      <c r="B524" s="1008"/>
      <c r="C524" s="1025"/>
      <c r="D524" s="1024"/>
      <c r="E524" s="1017"/>
      <c r="F524" s="1018"/>
      <c r="G524" s="1017"/>
      <c r="H524" s="536"/>
      <c r="I524" s="536"/>
      <c r="J524" s="536"/>
      <c r="K524" s="47"/>
      <c r="L524" s="50"/>
      <c r="M524" s="537"/>
      <c r="N524" s="903"/>
      <c r="O524" s="903"/>
      <c r="P524" s="1020"/>
      <c r="Q524" s="539">
        <f>Q523*G523/F523</f>
        <v>2394</v>
      </c>
      <c r="R524" s="43" t="s">
        <v>32</v>
      </c>
      <c r="S524" s="1035"/>
      <c r="T524" s="12"/>
      <c r="U524" s="536"/>
      <c r="V524" s="536"/>
      <c r="W524" s="547"/>
      <c r="X524" s="536"/>
      <c r="Y524" s="537"/>
      <c r="Z524" s="536"/>
      <c r="AA524" s="536"/>
      <c r="AB524" s="536"/>
      <c r="AC524" s="47"/>
      <c r="AD524" s="50"/>
      <c r="AE524" s="537"/>
      <c r="AF524" s="12"/>
      <c r="AG524" s="536"/>
      <c r="AH524" s="536"/>
      <c r="AI524" s="547"/>
      <c r="AJ524" s="536"/>
      <c r="AK524" s="538"/>
      <c r="AL524" s="12"/>
      <c r="AM524" s="536"/>
      <c r="AN524" s="536"/>
      <c r="AO524" s="547"/>
      <c r="AP524" s="536"/>
      <c r="AQ524" s="538"/>
      <c r="AR524" s="530"/>
    </row>
    <row r="525" spans="1:44" ht="56.25">
      <c r="A525" s="1008">
        <v>276</v>
      </c>
      <c r="B525" s="1008">
        <v>736896</v>
      </c>
      <c r="C525" s="1025" t="s">
        <v>403</v>
      </c>
      <c r="D525" s="1024">
        <v>0.42599999999999999</v>
      </c>
      <c r="E525" s="1017">
        <v>3280</v>
      </c>
      <c r="F525" s="1018">
        <v>0.42599999999999999</v>
      </c>
      <c r="G525" s="1017">
        <v>3280</v>
      </c>
      <c r="H525" s="536"/>
      <c r="I525" s="536"/>
      <c r="J525" s="536"/>
      <c r="K525" s="47"/>
      <c r="L525" s="50"/>
      <c r="M525" s="537"/>
      <c r="N525" s="318"/>
      <c r="O525" s="549"/>
      <c r="P525" s="1008"/>
      <c r="Q525" s="547"/>
      <c r="R525" s="553"/>
      <c r="S525" s="1034"/>
      <c r="T525" s="12"/>
      <c r="U525" s="536"/>
      <c r="V525" s="536"/>
      <c r="W525" s="547"/>
      <c r="X525" s="536"/>
      <c r="Y525" s="537"/>
      <c r="Z525" s="536"/>
      <c r="AA525" s="536"/>
      <c r="AB525" s="536" t="s">
        <v>93</v>
      </c>
      <c r="AC525" s="547">
        <v>1</v>
      </c>
      <c r="AD525" s="536" t="s">
        <v>118</v>
      </c>
      <c r="AE525" s="537">
        <v>50</v>
      </c>
      <c r="AF525" s="12"/>
      <c r="AG525" s="536"/>
      <c r="AH525" s="536"/>
      <c r="AI525" s="547"/>
      <c r="AJ525" s="536"/>
      <c r="AK525" s="538"/>
      <c r="AL525" s="12"/>
      <c r="AM525" s="536"/>
      <c r="AN525" s="536"/>
      <c r="AO525" s="547"/>
      <c r="AP525" s="536"/>
      <c r="AQ525" s="538"/>
      <c r="AR525" s="530"/>
    </row>
    <row r="526" spans="1:44" ht="18.75">
      <c r="A526" s="1008"/>
      <c r="B526" s="1008"/>
      <c r="C526" s="1025"/>
      <c r="D526" s="1024"/>
      <c r="E526" s="1017"/>
      <c r="F526" s="1018"/>
      <c r="G526" s="1017"/>
      <c r="H526" s="536"/>
      <c r="I526" s="536"/>
      <c r="J526" s="536"/>
      <c r="K526" s="47"/>
      <c r="L526" s="50"/>
      <c r="M526" s="537"/>
      <c r="N526" s="318"/>
      <c r="O526" s="549"/>
      <c r="P526" s="1008"/>
      <c r="Q526" s="539"/>
      <c r="R526" s="43"/>
      <c r="S526" s="1035"/>
      <c r="T526" s="12"/>
      <c r="U526" s="536"/>
      <c r="V526" s="536"/>
      <c r="W526" s="547"/>
      <c r="X526" s="536"/>
      <c r="Y526" s="537"/>
      <c r="Z526" s="536"/>
      <c r="AA526" s="536"/>
      <c r="AB526" s="536"/>
      <c r="AC526" s="47"/>
      <c r="AD526" s="50"/>
      <c r="AE526" s="537"/>
      <c r="AF526" s="12"/>
      <c r="AG526" s="536"/>
      <c r="AH526" s="536"/>
      <c r="AI526" s="547"/>
      <c r="AJ526" s="536"/>
      <c r="AK526" s="538"/>
      <c r="AL526" s="12"/>
      <c r="AM526" s="536"/>
      <c r="AN526" s="536"/>
      <c r="AO526" s="547"/>
      <c r="AP526" s="536"/>
      <c r="AQ526" s="538"/>
      <c r="AR526" s="530"/>
    </row>
    <row r="527" spans="1:44" ht="56.25">
      <c r="A527" s="1008">
        <v>277</v>
      </c>
      <c r="B527" s="1008">
        <v>736175</v>
      </c>
      <c r="C527" s="1025" t="s">
        <v>404</v>
      </c>
      <c r="D527" s="1024">
        <v>0.55200000000000005</v>
      </c>
      <c r="E527" s="1017">
        <v>7160</v>
      </c>
      <c r="F527" s="1018">
        <v>0.55200000000000005</v>
      </c>
      <c r="G527" s="1017">
        <v>7160</v>
      </c>
      <c r="H527" s="536"/>
      <c r="I527" s="536"/>
      <c r="J527" s="536"/>
      <c r="K527" s="47"/>
      <c r="L527" s="50"/>
      <c r="M527" s="537"/>
      <c r="N527" s="318"/>
      <c r="O527" s="549"/>
      <c r="P527" s="1008"/>
      <c r="Q527" s="547"/>
      <c r="R527" s="553"/>
      <c r="S527" s="1034"/>
      <c r="T527" s="12"/>
      <c r="U527" s="536"/>
      <c r="V527" s="536"/>
      <c r="W527" s="547"/>
      <c r="X527" s="536"/>
      <c r="Y527" s="537"/>
      <c r="Z527" s="536"/>
      <c r="AA527" s="536"/>
      <c r="AB527" s="536" t="s">
        <v>93</v>
      </c>
      <c r="AC527" s="547">
        <v>1</v>
      </c>
      <c r="AD527" s="536" t="s">
        <v>118</v>
      </c>
      <c r="AE527" s="537">
        <v>50</v>
      </c>
      <c r="AF527" s="12"/>
      <c r="AG527" s="536"/>
      <c r="AH527" s="536"/>
      <c r="AI527" s="547"/>
      <c r="AJ527" s="536"/>
      <c r="AK527" s="538"/>
      <c r="AL527" s="12"/>
      <c r="AM527" s="536"/>
      <c r="AN527" s="536"/>
      <c r="AO527" s="547"/>
      <c r="AP527" s="536"/>
      <c r="AQ527" s="538"/>
      <c r="AR527" s="530"/>
    </row>
    <row r="528" spans="1:44" ht="18.75">
      <c r="A528" s="1008"/>
      <c r="B528" s="1008"/>
      <c r="C528" s="1025"/>
      <c r="D528" s="1024"/>
      <c r="E528" s="1017"/>
      <c r="F528" s="1018"/>
      <c r="G528" s="1017"/>
      <c r="H528" s="536"/>
      <c r="I528" s="536"/>
      <c r="J528" s="536"/>
      <c r="K528" s="47"/>
      <c r="L528" s="50"/>
      <c r="M528" s="537"/>
      <c r="N528" s="318"/>
      <c r="O528" s="549"/>
      <c r="P528" s="1008"/>
      <c r="Q528" s="539"/>
      <c r="R528" s="43"/>
      <c r="S528" s="1035"/>
      <c r="T528" s="12"/>
      <c r="U528" s="536"/>
      <c r="V528" s="536"/>
      <c r="W528" s="547"/>
      <c r="X528" s="536"/>
      <c r="Y528" s="537"/>
      <c r="Z528" s="536"/>
      <c r="AA528" s="536"/>
      <c r="AB528" s="536"/>
      <c r="AC528" s="47"/>
      <c r="AD528" s="50"/>
      <c r="AE528" s="537"/>
      <c r="AF528" s="12"/>
      <c r="AG528" s="536"/>
      <c r="AH528" s="536"/>
      <c r="AI528" s="547"/>
      <c r="AJ528" s="536"/>
      <c r="AK528" s="538"/>
      <c r="AL528" s="12"/>
      <c r="AM528" s="536"/>
      <c r="AN528" s="536"/>
      <c r="AO528" s="547"/>
      <c r="AP528" s="536"/>
      <c r="AQ528" s="538"/>
      <c r="AR528" s="530"/>
    </row>
    <row r="529" spans="1:44" ht="18.75">
      <c r="A529" s="1008">
        <v>278</v>
      </c>
      <c r="B529" s="1008">
        <v>735595</v>
      </c>
      <c r="C529" s="1025" t="s">
        <v>405</v>
      </c>
      <c r="D529" s="1024">
        <v>0.38600000000000001</v>
      </c>
      <c r="E529" s="1017">
        <v>2744</v>
      </c>
      <c r="F529" s="1018">
        <v>0.38600000000000001</v>
      </c>
      <c r="G529" s="1017">
        <v>2744</v>
      </c>
      <c r="H529" s="536"/>
      <c r="I529" s="536"/>
      <c r="J529" s="536"/>
      <c r="K529" s="47"/>
      <c r="L529" s="50"/>
      <c r="M529" s="537"/>
      <c r="N529" s="903" t="s">
        <v>60</v>
      </c>
      <c r="O529" s="903" t="s">
        <v>2926</v>
      </c>
      <c r="P529" s="1020" t="s">
        <v>114</v>
      </c>
      <c r="Q529" s="547">
        <v>0.38600000000000001</v>
      </c>
      <c r="R529" s="553" t="s">
        <v>17</v>
      </c>
      <c r="S529" s="1034">
        <v>3492.74</v>
      </c>
      <c r="T529" s="12"/>
      <c r="U529" s="536"/>
      <c r="V529" s="536"/>
      <c r="W529" s="547"/>
      <c r="X529" s="536"/>
      <c r="Y529" s="537"/>
      <c r="Z529" s="536"/>
      <c r="AA529" s="536"/>
      <c r="AB529" s="536"/>
      <c r="AC529" s="47"/>
      <c r="AD529" s="50"/>
      <c r="AE529" s="537"/>
      <c r="AF529" s="12"/>
      <c r="AG529" s="536"/>
      <c r="AH529" s="536"/>
      <c r="AI529" s="547"/>
      <c r="AJ529" s="536"/>
      <c r="AK529" s="538"/>
      <c r="AL529" s="12"/>
      <c r="AM529" s="536"/>
      <c r="AN529" s="536"/>
      <c r="AO529" s="547"/>
      <c r="AP529" s="536"/>
      <c r="AQ529" s="538"/>
      <c r="AR529" s="530"/>
    </row>
    <row r="530" spans="1:44" ht="18.75">
      <c r="A530" s="1008"/>
      <c r="B530" s="1008"/>
      <c r="C530" s="1025"/>
      <c r="D530" s="1024"/>
      <c r="E530" s="1017"/>
      <c r="F530" s="1018"/>
      <c r="G530" s="1017"/>
      <c r="H530" s="536"/>
      <c r="I530" s="536"/>
      <c r="J530" s="536"/>
      <c r="K530" s="47"/>
      <c r="L530" s="50"/>
      <c r="M530" s="537"/>
      <c r="N530" s="903"/>
      <c r="O530" s="903"/>
      <c r="P530" s="1020"/>
      <c r="Q530" s="539">
        <f>Q529*G529/F529</f>
        <v>2744</v>
      </c>
      <c r="R530" s="43" t="s">
        <v>32</v>
      </c>
      <c r="S530" s="1035"/>
      <c r="T530" s="12"/>
      <c r="U530" s="536"/>
      <c r="V530" s="536"/>
      <c r="W530" s="547"/>
      <c r="X530" s="536"/>
      <c r="Y530" s="537"/>
      <c r="Z530" s="536"/>
      <c r="AA530" s="536"/>
      <c r="AB530" s="536"/>
      <c r="AC530" s="47"/>
      <c r="AD530" s="50"/>
      <c r="AE530" s="537"/>
      <c r="AF530" s="12"/>
      <c r="AG530" s="536"/>
      <c r="AH530" s="536"/>
      <c r="AI530" s="547"/>
      <c r="AJ530" s="536"/>
      <c r="AK530" s="538"/>
      <c r="AL530" s="12"/>
      <c r="AM530" s="536"/>
      <c r="AN530" s="536"/>
      <c r="AO530" s="547"/>
      <c r="AP530" s="536"/>
      <c r="AQ530" s="538"/>
      <c r="AR530" s="530"/>
    </row>
    <row r="531" spans="1:44" ht="56.25">
      <c r="A531" s="1008">
        <v>279</v>
      </c>
      <c r="B531" s="1008">
        <v>736846</v>
      </c>
      <c r="C531" s="1025" t="s">
        <v>406</v>
      </c>
      <c r="D531" s="1024">
        <v>1.1759999999999999</v>
      </c>
      <c r="E531" s="1017">
        <v>13524</v>
      </c>
      <c r="F531" s="1018">
        <v>1.1759999999999999</v>
      </c>
      <c r="G531" s="1017">
        <v>13524</v>
      </c>
      <c r="H531" s="536"/>
      <c r="I531" s="536"/>
      <c r="J531" s="536"/>
      <c r="K531" s="47"/>
      <c r="L531" s="50"/>
      <c r="M531" s="537"/>
      <c r="N531" s="318"/>
      <c r="O531" s="549"/>
      <c r="P531" s="1008"/>
      <c r="Q531" s="547"/>
      <c r="R531" s="553"/>
      <c r="S531" s="1034"/>
      <c r="T531" s="12"/>
      <c r="U531" s="536"/>
      <c r="V531" s="536"/>
      <c r="W531" s="547"/>
      <c r="X531" s="536"/>
      <c r="Y531" s="537"/>
      <c r="Z531" s="536"/>
      <c r="AA531" s="536"/>
      <c r="AB531" s="536" t="s">
        <v>93</v>
      </c>
      <c r="AC531" s="547">
        <v>1</v>
      </c>
      <c r="AD531" s="536" t="s">
        <v>118</v>
      </c>
      <c r="AE531" s="537">
        <v>50</v>
      </c>
      <c r="AF531" s="12"/>
      <c r="AG531" s="536"/>
      <c r="AH531" s="536"/>
      <c r="AI531" s="547"/>
      <c r="AJ531" s="536"/>
      <c r="AK531" s="538"/>
      <c r="AL531" s="12"/>
      <c r="AM531" s="536"/>
      <c r="AN531" s="536"/>
      <c r="AO531" s="547"/>
      <c r="AP531" s="536"/>
      <c r="AQ531" s="538"/>
      <c r="AR531" s="530"/>
    </row>
    <row r="532" spans="1:44" ht="18.75">
      <c r="A532" s="1008"/>
      <c r="B532" s="1008"/>
      <c r="C532" s="1025"/>
      <c r="D532" s="1024"/>
      <c r="E532" s="1017"/>
      <c r="F532" s="1018"/>
      <c r="G532" s="1017"/>
      <c r="H532" s="536"/>
      <c r="I532" s="536"/>
      <c r="J532" s="536"/>
      <c r="K532" s="47"/>
      <c r="L532" s="50"/>
      <c r="M532" s="537"/>
      <c r="N532" s="318"/>
      <c r="O532" s="549"/>
      <c r="P532" s="1008"/>
      <c r="Q532" s="539"/>
      <c r="R532" s="43"/>
      <c r="S532" s="1035"/>
      <c r="T532" s="12"/>
      <c r="U532" s="536"/>
      <c r="V532" s="536"/>
      <c r="W532" s="547"/>
      <c r="X532" s="536"/>
      <c r="Y532" s="537"/>
      <c r="Z532" s="536"/>
      <c r="AA532" s="536"/>
      <c r="AB532" s="536"/>
      <c r="AC532" s="47"/>
      <c r="AD532" s="50"/>
      <c r="AE532" s="537"/>
      <c r="AF532" s="12"/>
      <c r="AG532" s="536"/>
      <c r="AH532" s="536"/>
      <c r="AI532" s="547"/>
      <c r="AJ532" s="536"/>
      <c r="AK532" s="538"/>
      <c r="AL532" s="12"/>
      <c r="AM532" s="536"/>
      <c r="AN532" s="536"/>
      <c r="AO532" s="547"/>
      <c r="AP532" s="536"/>
      <c r="AQ532" s="538"/>
      <c r="AR532" s="530"/>
    </row>
    <row r="533" spans="1:44" ht="56.25">
      <c r="A533" s="1008">
        <v>280</v>
      </c>
      <c r="B533" s="1008">
        <v>736055</v>
      </c>
      <c r="C533" s="1025" t="s">
        <v>407</v>
      </c>
      <c r="D533" s="1024">
        <v>0.248</v>
      </c>
      <c r="E533" s="1017">
        <v>2083</v>
      </c>
      <c r="F533" s="1018">
        <v>0.248</v>
      </c>
      <c r="G533" s="1017">
        <v>2083</v>
      </c>
      <c r="H533" s="536"/>
      <c r="I533" s="536"/>
      <c r="J533" s="536"/>
      <c r="K533" s="47"/>
      <c r="L533" s="50"/>
      <c r="M533" s="537"/>
      <c r="N533" s="318"/>
      <c r="O533" s="549"/>
      <c r="P533" s="1008"/>
      <c r="Q533" s="547"/>
      <c r="R533" s="553"/>
      <c r="S533" s="1034"/>
      <c r="T533" s="12"/>
      <c r="U533" s="536"/>
      <c r="V533" s="536"/>
      <c r="W533" s="547"/>
      <c r="X533" s="536"/>
      <c r="Y533" s="537"/>
      <c r="Z533" s="536"/>
      <c r="AA533" s="536"/>
      <c r="AB533" s="536"/>
      <c r="AC533" s="47"/>
      <c r="AD533" s="50"/>
      <c r="AE533" s="537"/>
      <c r="AF533" s="12"/>
      <c r="AG533" s="536"/>
      <c r="AH533" s="536" t="s">
        <v>93</v>
      </c>
      <c r="AI533" s="547">
        <v>1</v>
      </c>
      <c r="AJ533" s="536" t="s">
        <v>118</v>
      </c>
      <c r="AK533" s="537">
        <v>50</v>
      </c>
      <c r="AL533" s="12"/>
      <c r="AM533" s="536"/>
      <c r="AN533" s="536"/>
      <c r="AO533" s="547"/>
      <c r="AP533" s="536"/>
      <c r="AQ533" s="538"/>
      <c r="AR533" s="530"/>
    </row>
    <row r="534" spans="1:44" ht="18.75">
      <c r="A534" s="1008"/>
      <c r="B534" s="1008"/>
      <c r="C534" s="1025"/>
      <c r="D534" s="1024"/>
      <c r="E534" s="1017"/>
      <c r="F534" s="1018"/>
      <c r="G534" s="1017"/>
      <c r="H534" s="536"/>
      <c r="I534" s="536"/>
      <c r="J534" s="536"/>
      <c r="K534" s="47"/>
      <c r="L534" s="50"/>
      <c r="M534" s="537"/>
      <c r="N534" s="318"/>
      <c r="O534" s="549"/>
      <c r="P534" s="1008"/>
      <c r="Q534" s="539"/>
      <c r="R534" s="43"/>
      <c r="S534" s="1035"/>
      <c r="T534" s="12"/>
      <c r="U534" s="536"/>
      <c r="V534" s="536"/>
      <c r="W534" s="547"/>
      <c r="X534" s="536"/>
      <c r="Y534" s="537"/>
      <c r="Z534" s="536"/>
      <c r="AA534" s="536"/>
      <c r="AB534" s="536"/>
      <c r="AC534" s="47"/>
      <c r="AD534" s="50"/>
      <c r="AE534" s="537"/>
      <c r="AF534" s="12"/>
      <c r="AG534" s="536"/>
      <c r="AH534" s="536"/>
      <c r="AI534" s="547"/>
      <c r="AJ534" s="536"/>
      <c r="AK534" s="538"/>
      <c r="AL534" s="12"/>
      <c r="AM534" s="536"/>
      <c r="AN534" s="536"/>
      <c r="AO534" s="547"/>
      <c r="AP534" s="536"/>
      <c r="AQ534" s="538"/>
      <c r="AR534" s="530"/>
    </row>
    <row r="535" spans="1:44" ht="56.25">
      <c r="A535" s="1008">
        <v>281</v>
      </c>
      <c r="B535" s="1008">
        <v>749954</v>
      </c>
      <c r="C535" s="1025" t="s">
        <v>408</v>
      </c>
      <c r="D535" s="1024">
        <v>0.15</v>
      </c>
      <c r="E535" s="1017">
        <v>1174</v>
      </c>
      <c r="F535" s="1018">
        <v>0.15</v>
      </c>
      <c r="G535" s="1017">
        <v>1174</v>
      </c>
      <c r="H535" s="536"/>
      <c r="I535" s="536"/>
      <c r="J535" s="536"/>
      <c r="K535" s="47"/>
      <c r="L535" s="50"/>
      <c r="M535" s="537"/>
      <c r="N535" s="318"/>
      <c r="O535" s="549"/>
      <c r="P535" s="1008"/>
      <c r="Q535" s="547"/>
      <c r="R535" s="553"/>
      <c r="S535" s="1034"/>
      <c r="T535" s="12"/>
      <c r="U535" s="536"/>
      <c r="V535" s="536"/>
      <c r="W535" s="547"/>
      <c r="X535" s="536"/>
      <c r="Y535" s="537"/>
      <c r="Z535" s="536"/>
      <c r="AA535" s="536"/>
      <c r="AB535" s="536"/>
      <c r="AC535" s="47"/>
      <c r="AD535" s="50"/>
      <c r="AE535" s="537"/>
      <c r="AF535" s="12"/>
      <c r="AG535" s="536"/>
      <c r="AH535" s="536"/>
      <c r="AI535" s="547"/>
      <c r="AJ535" s="536"/>
      <c r="AK535" s="538"/>
      <c r="AL535" s="12"/>
      <c r="AM535" s="536"/>
      <c r="AN535" s="536" t="s">
        <v>93</v>
      </c>
      <c r="AO535" s="547">
        <v>1</v>
      </c>
      <c r="AP535" s="536" t="s">
        <v>118</v>
      </c>
      <c r="AQ535" s="537">
        <v>50</v>
      </c>
      <c r="AR535" s="530"/>
    </row>
    <row r="536" spans="1:44" ht="18.75">
      <c r="A536" s="1008"/>
      <c r="B536" s="1008"/>
      <c r="C536" s="1025"/>
      <c r="D536" s="1024"/>
      <c r="E536" s="1017"/>
      <c r="F536" s="1018"/>
      <c r="G536" s="1017"/>
      <c r="H536" s="536"/>
      <c r="I536" s="536"/>
      <c r="J536" s="536"/>
      <c r="K536" s="47"/>
      <c r="L536" s="50"/>
      <c r="M536" s="537"/>
      <c r="N536" s="318"/>
      <c r="O536" s="549"/>
      <c r="P536" s="1008"/>
      <c r="Q536" s="539"/>
      <c r="R536" s="43"/>
      <c r="S536" s="1035"/>
      <c r="T536" s="12"/>
      <c r="U536" s="536"/>
      <c r="V536" s="536"/>
      <c r="W536" s="547"/>
      <c r="X536" s="536"/>
      <c r="Y536" s="537"/>
      <c r="Z536" s="536"/>
      <c r="AA536" s="536"/>
      <c r="AB536" s="536"/>
      <c r="AC536" s="47"/>
      <c r="AD536" s="50"/>
      <c r="AE536" s="537"/>
      <c r="AF536" s="12"/>
      <c r="AG536" s="536"/>
      <c r="AH536" s="536"/>
      <c r="AI536" s="547"/>
      <c r="AJ536" s="536"/>
      <c r="AK536" s="538"/>
      <c r="AL536" s="12"/>
      <c r="AM536" s="536"/>
      <c r="AN536" s="536"/>
      <c r="AO536" s="547"/>
      <c r="AP536" s="536"/>
      <c r="AQ536" s="538"/>
      <c r="AR536" s="530"/>
    </row>
    <row r="537" spans="1:44" ht="18.75">
      <c r="A537" s="1008">
        <v>282</v>
      </c>
      <c r="B537" s="1008">
        <v>736507</v>
      </c>
      <c r="C537" s="1025" t="s">
        <v>409</v>
      </c>
      <c r="D537" s="1024">
        <v>0.3</v>
      </c>
      <c r="E537" s="1017">
        <v>2250</v>
      </c>
      <c r="F537" s="1018">
        <v>0.3</v>
      </c>
      <c r="G537" s="1017">
        <v>2250</v>
      </c>
      <c r="H537" s="536"/>
      <c r="I537" s="536"/>
      <c r="J537" s="536"/>
      <c r="K537" s="47"/>
      <c r="L537" s="50"/>
      <c r="M537" s="537"/>
      <c r="N537" s="903" t="s">
        <v>60</v>
      </c>
      <c r="O537" s="903" t="s">
        <v>2697</v>
      </c>
      <c r="P537" s="1020" t="s">
        <v>114</v>
      </c>
      <c r="Q537" s="547">
        <v>0.3</v>
      </c>
      <c r="R537" s="553" t="s">
        <v>17</v>
      </c>
      <c r="S537" s="1034">
        <f>2805.39013+59.07987</f>
        <v>2864.4700000000003</v>
      </c>
      <c r="T537" s="12"/>
      <c r="U537" s="536"/>
      <c r="V537" s="536"/>
      <c r="W537" s="547"/>
      <c r="X537" s="536"/>
      <c r="Y537" s="537"/>
      <c r="Z537" s="536"/>
      <c r="AA537" s="536"/>
      <c r="AB537" s="536"/>
      <c r="AC537" s="47"/>
      <c r="AD537" s="50"/>
      <c r="AE537" s="537"/>
      <c r="AF537" s="12"/>
      <c r="AG537" s="536"/>
      <c r="AH537" s="536"/>
      <c r="AI537" s="547"/>
      <c r="AJ537" s="536"/>
      <c r="AK537" s="538"/>
      <c r="AL537" s="12"/>
      <c r="AM537" s="536"/>
      <c r="AN537" s="536"/>
      <c r="AO537" s="547"/>
      <c r="AP537" s="536"/>
      <c r="AQ537" s="538"/>
      <c r="AR537" s="530"/>
    </row>
    <row r="538" spans="1:44" ht="18.75">
      <c r="A538" s="1008"/>
      <c r="B538" s="1008"/>
      <c r="C538" s="1025"/>
      <c r="D538" s="1024"/>
      <c r="E538" s="1017"/>
      <c r="F538" s="1018"/>
      <c r="G538" s="1017"/>
      <c r="H538" s="536"/>
      <c r="I538" s="536"/>
      <c r="J538" s="536"/>
      <c r="K538" s="47"/>
      <c r="L538" s="50"/>
      <c r="M538" s="537"/>
      <c r="N538" s="903"/>
      <c r="O538" s="903"/>
      <c r="P538" s="1020"/>
      <c r="Q538" s="539">
        <f>Q537*G537/F537</f>
        <v>2250</v>
      </c>
      <c r="R538" s="43" t="s">
        <v>32</v>
      </c>
      <c r="S538" s="1035"/>
      <c r="T538" s="320"/>
      <c r="U538" s="536"/>
      <c r="V538" s="536"/>
      <c r="W538" s="547"/>
      <c r="X538" s="536"/>
      <c r="Y538" s="537"/>
      <c r="Z538" s="536"/>
      <c r="AA538" s="536"/>
      <c r="AB538" s="536"/>
      <c r="AC538" s="47"/>
      <c r="AD538" s="50"/>
      <c r="AE538" s="537"/>
      <c r="AF538" s="12"/>
      <c r="AG538" s="536"/>
      <c r="AH538" s="536"/>
      <c r="AI538" s="547"/>
      <c r="AJ538" s="536"/>
      <c r="AK538" s="538"/>
      <c r="AL538" s="12"/>
      <c r="AM538" s="536"/>
      <c r="AN538" s="536"/>
      <c r="AO538" s="547"/>
      <c r="AP538" s="536"/>
      <c r="AQ538" s="538"/>
      <c r="AR538" s="530"/>
    </row>
    <row r="539" spans="1:44" ht="56.25">
      <c r="A539" s="1008">
        <v>283</v>
      </c>
      <c r="B539" s="1008">
        <v>737512</v>
      </c>
      <c r="C539" s="1025" t="s">
        <v>410</v>
      </c>
      <c r="D539" s="1024">
        <v>1.6619999999999999</v>
      </c>
      <c r="E539" s="1017">
        <v>12299</v>
      </c>
      <c r="F539" s="1018">
        <v>1.6619999999999999</v>
      </c>
      <c r="G539" s="1017">
        <v>12299</v>
      </c>
      <c r="H539" s="536"/>
      <c r="I539" s="536"/>
      <c r="J539" s="536"/>
      <c r="K539" s="47"/>
      <c r="L539" s="50"/>
      <c r="M539" s="537"/>
      <c r="N539" s="318"/>
      <c r="O539" s="549"/>
      <c r="P539" s="1008"/>
      <c r="Q539" s="547"/>
      <c r="R539" s="553"/>
      <c r="S539" s="1034"/>
      <c r="T539" s="12"/>
      <c r="U539" s="536"/>
      <c r="V539" s="536"/>
      <c r="W539" s="547"/>
      <c r="X539" s="536"/>
      <c r="Y539" s="537"/>
      <c r="Z539" s="536"/>
      <c r="AA539" s="536"/>
      <c r="AB539" s="536"/>
      <c r="AC539" s="47"/>
      <c r="AD539" s="50"/>
      <c r="AE539" s="537"/>
      <c r="AF539" s="12"/>
      <c r="AG539" s="536"/>
      <c r="AH539" s="536"/>
      <c r="AI539" s="547"/>
      <c r="AJ539" s="536"/>
      <c r="AK539" s="538"/>
      <c r="AL539" s="12"/>
      <c r="AM539" s="536"/>
      <c r="AN539" s="536" t="s">
        <v>93</v>
      </c>
      <c r="AO539" s="547">
        <v>1</v>
      </c>
      <c r="AP539" s="536" t="s">
        <v>118</v>
      </c>
      <c r="AQ539" s="537">
        <v>50</v>
      </c>
      <c r="AR539" s="530"/>
    </row>
    <row r="540" spans="1:44" ht="18.75">
      <c r="A540" s="1008"/>
      <c r="B540" s="1008"/>
      <c r="C540" s="1025"/>
      <c r="D540" s="1024"/>
      <c r="E540" s="1017"/>
      <c r="F540" s="1018"/>
      <c r="G540" s="1017"/>
      <c r="H540" s="536"/>
      <c r="I540" s="536"/>
      <c r="J540" s="536"/>
      <c r="K540" s="47"/>
      <c r="L540" s="50"/>
      <c r="M540" s="537"/>
      <c r="N540" s="318"/>
      <c r="O540" s="549"/>
      <c r="P540" s="1008"/>
      <c r="Q540" s="539"/>
      <c r="R540" s="43"/>
      <c r="S540" s="1035"/>
      <c r="T540" s="12"/>
      <c r="U540" s="536"/>
      <c r="V540" s="536"/>
      <c r="W540" s="547"/>
      <c r="X540" s="536"/>
      <c r="Y540" s="537"/>
      <c r="Z540" s="536"/>
      <c r="AA540" s="536"/>
      <c r="AB540" s="536"/>
      <c r="AC540" s="47"/>
      <c r="AD540" s="50"/>
      <c r="AE540" s="537"/>
      <c r="AF540" s="12"/>
      <c r="AG540" s="536"/>
      <c r="AH540" s="536"/>
      <c r="AI540" s="547"/>
      <c r="AJ540" s="536"/>
      <c r="AK540" s="538"/>
      <c r="AL540" s="12"/>
      <c r="AM540" s="536"/>
      <c r="AN540" s="536"/>
      <c r="AO540" s="547"/>
      <c r="AP540" s="536"/>
      <c r="AQ540" s="538"/>
      <c r="AR540" s="530"/>
    </row>
    <row r="541" spans="1:44" ht="56.25">
      <c r="A541" s="1008">
        <v>284</v>
      </c>
      <c r="B541" s="1008">
        <v>739685</v>
      </c>
      <c r="C541" s="1025" t="s">
        <v>411</v>
      </c>
      <c r="D541" s="1024">
        <v>1.0620000000000001</v>
      </c>
      <c r="E541" s="1017">
        <v>14549</v>
      </c>
      <c r="F541" s="1018">
        <v>1.0620000000000001</v>
      </c>
      <c r="G541" s="1017">
        <v>14549</v>
      </c>
      <c r="H541" s="536"/>
      <c r="I541" s="536"/>
      <c r="J541" s="536"/>
      <c r="K541" s="47"/>
      <c r="L541" s="50"/>
      <c r="M541" s="537"/>
      <c r="N541" s="318"/>
      <c r="O541" s="549"/>
      <c r="P541" s="1008"/>
      <c r="Q541" s="547"/>
      <c r="R541" s="553"/>
      <c r="S541" s="1034"/>
      <c r="T541" s="12"/>
      <c r="U541" s="536"/>
      <c r="V541" s="536"/>
      <c r="W541" s="547"/>
      <c r="X541" s="536"/>
      <c r="Y541" s="537"/>
      <c r="Z541" s="536"/>
      <c r="AA541" s="536"/>
      <c r="AB541" s="536"/>
      <c r="AC541" s="47"/>
      <c r="AD541" s="50"/>
      <c r="AE541" s="537"/>
      <c r="AF541" s="12"/>
      <c r="AG541" s="536"/>
      <c r="AH541" s="536"/>
      <c r="AI541" s="547"/>
      <c r="AJ541" s="536"/>
      <c r="AK541" s="538"/>
      <c r="AL541" s="12"/>
      <c r="AM541" s="536"/>
      <c r="AN541" s="536" t="s">
        <v>93</v>
      </c>
      <c r="AO541" s="547">
        <v>1</v>
      </c>
      <c r="AP541" s="536" t="s">
        <v>118</v>
      </c>
      <c r="AQ541" s="537">
        <v>50</v>
      </c>
      <c r="AR541" s="530"/>
    </row>
    <row r="542" spans="1:44" ht="18.75">
      <c r="A542" s="1008"/>
      <c r="B542" s="1008"/>
      <c r="C542" s="1025"/>
      <c r="D542" s="1024"/>
      <c r="E542" s="1017"/>
      <c r="F542" s="1018"/>
      <c r="G542" s="1017"/>
      <c r="H542" s="536"/>
      <c r="I542" s="536"/>
      <c r="J542" s="536"/>
      <c r="K542" s="47"/>
      <c r="L542" s="50"/>
      <c r="M542" s="537"/>
      <c r="N542" s="318"/>
      <c r="O542" s="549"/>
      <c r="P542" s="1008"/>
      <c r="Q542" s="539"/>
      <c r="R542" s="43"/>
      <c r="S542" s="1035"/>
      <c r="T542" s="12"/>
      <c r="U542" s="536"/>
      <c r="V542" s="536"/>
      <c r="W542" s="547"/>
      <c r="X542" s="536"/>
      <c r="Y542" s="537"/>
      <c r="Z542" s="536"/>
      <c r="AA542" s="536"/>
      <c r="AB542" s="536"/>
      <c r="AC542" s="47"/>
      <c r="AD542" s="50"/>
      <c r="AE542" s="537"/>
      <c r="AF542" s="12"/>
      <c r="AG542" s="536"/>
      <c r="AH542" s="536"/>
      <c r="AI542" s="547"/>
      <c r="AJ542" s="536"/>
      <c r="AK542" s="538"/>
      <c r="AL542" s="12"/>
      <c r="AM542" s="536"/>
      <c r="AN542" s="536"/>
      <c r="AO542" s="547"/>
      <c r="AP542" s="536"/>
      <c r="AQ542" s="538"/>
      <c r="AR542" s="530"/>
    </row>
    <row r="543" spans="1:44" ht="56.25">
      <c r="A543" s="1008">
        <v>285</v>
      </c>
      <c r="B543" s="1008">
        <v>2795105</v>
      </c>
      <c r="C543" s="1025" t="s">
        <v>412</v>
      </c>
      <c r="D543" s="1024">
        <v>0.35</v>
      </c>
      <c r="E543" s="1017">
        <v>2800</v>
      </c>
      <c r="F543" s="1018">
        <v>0.35</v>
      </c>
      <c r="G543" s="1017">
        <v>2800</v>
      </c>
      <c r="H543" s="536"/>
      <c r="I543" s="536"/>
      <c r="J543" s="536"/>
      <c r="K543" s="47"/>
      <c r="L543" s="50"/>
      <c r="M543" s="537"/>
      <c r="N543" s="318"/>
      <c r="O543" s="549"/>
      <c r="P543" s="1008"/>
      <c r="Q543" s="547"/>
      <c r="R543" s="553"/>
      <c r="S543" s="1034"/>
      <c r="T543" s="12"/>
      <c r="U543" s="536"/>
      <c r="V543" s="536"/>
      <c r="W543" s="547"/>
      <c r="X543" s="536"/>
      <c r="Y543" s="537"/>
      <c r="Z543" s="536"/>
      <c r="AA543" s="536"/>
      <c r="AB543" s="536"/>
      <c r="AC543" s="47"/>
      <c r="AD543" s="50"/>
      <c r="AE543" s="537"/>
      <c r="AF543" s="12"/>
      <c r="AG543" s="536"/>
      <c r="AH543" s="536"/>
      <c r="AI543" s="547"/>
      <c r="AJ543" s="536"/>
      <c r="AK543" s="538"/>
      <c r="AL543" s="12"/>
      <c r="AM543" s="536"/>
      <c r="AN543" s="536" t="s">
        <v>93</v>
      </c>
      <c r="AO543" s="547">
        <v>1</v>
      </c>
      <c r="AP543" s="536" t="s">
        <v>118</v>
      </c>
      <c r="AQ543" s="537">
        <v>50</v>
      </c>
      <c r="AR543" s="530"/>
    </row>
    <row r="544" spans="1:44" ht="18.75">
      <c r="A544" s="1008"/>
      <c r="B544" s="1008"/>
      <c r="C544" s="1025"/>
      <c r="D544" s="1024"/>
      <c r="E544" s="1017"/>
      <c r="F544" s="1018"/>
      <c r="G544" s="1017"/>
      <c r="H544" s="536"/>
      <c r="I544" s="536"/>
      <c r="J544" s="536"/>
      <c r="K544" s="47"/>
      <c r="L544" s="50"/>
      <c r="M544" s="537"/>
      <c r="N544" s="318"/>
      <c r="O544" s="549"/>
      <c r="P544" s="1008"/>
      <c r="Q544" s="539"/>
      <c r="R544" s="43"/>
      <c r="S544" s="1035"/>
      <c r="T544" s="12"/>
      <c r="U544" s="536"/>
      <c r="V544" s="536"/>
      <c r="W544" s="547"/>
      <c r="X544" s="536"/>
      <c r="Y544" s="537"/>
      <c r="Z544" s="536"/>
      <c r="AA544" s="536"/>
      <c r="AB544" s="536"/>
      <c r="AC544" s="47"/>
      <c r="AD544" s="50"/>
      <c r="AE544" s="537"/>
      <c r="AF544" s="12"/>
      <c r="AG544" s="536"/>
      <c r="AH544" s="536"/>
      <c r="AI544" s="547"/>
      <c r="AJ544" s="536"/>
      <c r="AK544" s="538"/>
      <c r="AL544" s="12"/>
      <c r="AM544" s="536"/>
      <c r="AN544" s="536"/>
      <c r="AO544" s="547"/>
      <c r="AP544" s="536"/>
      <c r="AQ544" s="538"/>
      <c r="AR544" s="530"/>
    </row>
    <row r="545" spans="1:44" ht="56.25">
      <c r="A545" s="1008">
        <v>286</v>
      </c>
      <c r="B545" s="1008">
        <v>736323</v>
      </c>
      <c r="C545" s="1025" t="s">
        <v>413</v>
      </c>
      <c r="D545" s="1024">
        <v>0.90600000000000003</v>
      </c>
      <c r="E545" s="1017">
        <v>4994</v>
      </c>
      <c r="F545" s="1018">
        <v>0.90600000000000003</v>
      </c>
      <c r="G545" s="1017">
        <v>4994</v>
      </c>
      <c r="H545" s="536"/>
      <c r="I545" s="536"/>
      <c r="J545" s="536"/>
      <c r="K545" s="47"/>
      <c r="L545" s="50"/>
      <c r="M545" s="537"/>
      <c r="N545" s="318"/>
      <c r="O545" s="549"/>
      <c r="P545" s="1008"/>
      <c r="Q545" s="547"/>
      <c r="R545" s="553"/>
      <c r="S545" s="1034"/>
      <c r="T545" s="12"/>
      <c r="U545" s="536"/>
      <c r="V545" s="536"/>
      <c r="W545" s="547"/>
      <c r="X545" s="536"/>
      <c r="Y545" s="537"/>
      <c r="Z545" s="536"/>
      <c r="AA545" s="536"/>
      <c r="AB545" s="536"/>
      <c r="AC545" s="47"/>
      <c r="AD545" s="50"/>
      <c r="AE545" s="537"/>
      <c r="AF545" s="12"/>
      <c r="AG545" s="536"/>
      <c r="AH545" s="536" t="s">
        <v>93</v>
      </c>
      <c r="AI545" s="547">
        <v>1</v>
      </c>
      <c r="AJ545" s="536" t="s">
        <v>118</v>
      </c>
      <c r="AK545" s="537">
        <v>50</v>
      </c>
      <c r="AL545" s="12"/>
      <c r="AM545" s="536"/>
      <c r="AN545" s="536"/>
      <c r="AO545" s="547"/>
      <c r="AP545" s="536"/>
      <c r="AQ545" s="538"/>
      <c r="AR545" s="530"/>
    </row>
    <row r="546" spans="1:44" ht="18.75">
      <c r="A546" s="1008"/>
      <c r="B546" s="1008"/>
      <c r="C546" s="1025"/>
      <c r="D546" s="1024"/>
      <c r="E546" s="1017"/>
      <c r="F546" s="1018"/>
      <c r="G546" s="1017"/>
      <c r="H546" s="536"/>
      <c r="I546" s="536"/>
      <c r="J546" s="536"/>
      <c r="K546" s="47"/>
      <c r="L546" s="50"/>
      <c r="M546" s="537"/>
      <c r="N546" s="318"/>
      <c r="O546" s="549"/>
      <c r="P546" s="1008"/>
      <c r="Q546" s="539"/>
      <c r="R546" s="43"/>
      <c r="S546" s="1035"/>
      <c r="T546" s="12"/>
      <c r="U546" s="536"/>
      <c r="V546" s="536"/>
      <c r="W546" s="547"/>
      <c r="X546" s="536"/>
      <c r="Y546" s="537"/>
      <c r="Z546" s="536"/>
      <c r="AA546" s="536"/>
      <c r="AB546" s="536"/>
      <c r="AC546" s="47"/>
      <c r="AD546" s="50"/>
      <c r="AE546" s="537"/>
      <c r="AF546" s="12"/>
      <c r="AG546" s="536"/>
      <c r="AH546" s="536"/>
      <c r="AI546" s="547"/>
      <c r="AJ546" s="536"/>
      <c r="AK546" s="538"/>
      <c r="AL546" s="12"/>
      <c r="AM546" s="536"/>
      <c r="AN546" s="536"/>
      <c r="AO546" s="547"/>
      <c r="AP546" s="536"/>
      <c r="AQ546" s="538"/>
      <c r="AR546" s="530"/>
    </row>
    <row r="547" spans="1:44" ht="56.25">
      <c r="A547" s="1008">
        <v>287</v>
      </c>
      <c r="B547" s="1008">
        <v>737302</v>
      </c>
      <c r="C547" s="1025" t="s">
        <v>414</v>
      </c>
      <c r="D547" s="1024">
        <v>0.31</v>
      </c>
      <c r="E547" s="1017">
        <v>1953</v>
      </c>
      <c r="F547" s="1018">
        <v>0.31</v>
      </c>
      <c r="G547" s="1017">
        <v>1953</v>
      </c>
      <c r="H547" s="536"/>
      <c r="I547" s="536"/>
      <c r="J547" s="536"/>
      <c r="K547" s="47"/>
      <c r="L547" s="50"/>
      <c r="M547" s="537"/>
      <c r="N547" s="318"/>
      <c r="O547" s="549"/>
      <c r="P547" s="1008"/>
      <c r="Q547" s="547"/>
      <c r="R547" s="553"/>
      <c r="S547" s="1034"/>
      <c r="T547" s="12"/>
      <c r="U547" s="536"/>
      <c r="V547" s="536"/>
      <c r="W547" s="547"/>
      <c r="X547" s="536"/>
      <c r="Y547" s="537"/>
      <c r="Z547" s="536"/>
      <c r="AA547" s="536"/>
      <c r="AB547" s="536"/>
      <c r="AC547" s="47"/>
      <c r="AD547" s="50"/>
      <c r="AE547" s="537"/>
      <c r="AF547" s="12"/>
      <c r="AG547" s="536"/>
      <c r="AH547" s="536" t="s">
        <v>93</v>
      </c>
      <c r="AI547" s="547">
        <v>1</v>
      </c>
      <c r="AJ547" s="536" t="s">
        <v>118</v>
      </c>
      <c r="AK547" s="537">
        <v>50</v>
      </c>
      <c r="AL547" s="12"/>
      <c r="AM547" s="536"/>
      <c r="AN547" s="536"/>
      <c r="AO547" s="547"/>
      <c r="AP547" s="536"/>
      <c r="AQ547" s="538"/>
      <c r="AR547" s="530"/>
    </row>
    <row r="548" spans="1:44" ht="18.75">
      <c r="A548" s="1008"/>
      <c r="B548" s="1008"/>
      <c r="C548" s="1025"/>
      <c r="D548" s="1024"/>
      <c r="E548" s="1017"/>
      <c r="F548" s="1018"/>
      <c r="G548" s="1017"/>
      <c r="H548" s="536"/>
      <c r="I548" s="536"/>
      <c r="J548" s="536"/>
      <c r="K548" s="47"/>
      <c r="L548" s="50"/>
      <c r="M548" s="537"/>
      <c r="N548" s="318"/>
      <c r="O548" s="549"/>
      <c r="P548" s="1008"/>
      <c r="Q548" s="539"/>
      <c r="R548" s="43"/>
      <c r="S548" s="1035"/>
      <c r="T548" s="12"/>
      <c r="U548" s="536"/>
      <c r="V548" s="536"/>
      <c r="W548" s="547"/>
      <c r="X548" s="536"/>
      <c r="Y548" s="537"/>
      <c r="Z548" s="536"/>
      <c r="AA548" s="536"/>
      <c r="AB548" s="536"/>
      <c r="AC548" s="47"/>
      <c r="AD548" s="50"/>
      <c r="AE548" s="537"/>
      <c r="AF548" s="12"/>
      <c r="AG548" s="536"/>
      <c r="AH548" s="536"/>
      <c r="AI548" s="547"/>
      <c r="AJ548" s="536"/>
      <c r="AK548" s="538"/>
      <c r="AL548" s="12"/>
      <c r="AM548" s="536"/>
      <c r="AN548" s="536"/>
      <c r="AO548" s="547"/>
      <c r="AP548" s="536"/>
      <c r="AQ548" s="538"/>
      <c r="AR548" s="530"/>
    </row>
    <row r="549" spans="1:44" ht="56.25">
      <c r="A549" s="1008">
        <v>288</v>
      </c>
      <c r="B549" s="1008">
        <v>740692</v>
      </c>
      <c r="C549" s="1025" t="s">
        <v>415</v>
      </c>
      <c r="D549" s="1024">
        <v>0.95799999999999996</v>
      </c>
      <c r="E549" s="1017">
        <v>6703</v>
      </c>
      <c r="F549" s="1018">
        <v>0.95799999999999996</v>
      </c>
      <c r="G549" s="1017">
        <v>6703</v>
      </c>
      <c r="H549" s="536"/>
      <c r="I549" s="536"/>
      <c r="J549" s="536"/>
      <c r="K549" s="47"/>
      <c r="L549" s="50"/>
      <c r="M549" s="537"/>
      <c r="N549" s="318"/>
      <c r="O549" s="549"/>
      <c r="P549" s="1008"/>
      <c r="Q549" s="547"/>
      <c r="R549" s="553"/>
      <c r="S549" s="1034"/>
      <c r="T549" s="12"/>
      <c r="U549" s="536"/>
      <c r="V549" s="536"/>
      <c r="W549" s="547"/>
      <c r="X549" s="536"/>
      <c r="Y549" s="537"/>
      <c r="Z549" s="536"/>
      <c r="AA549" s="536"/>
      <c r="AB549" s="536" t="s">
        <v>93</v>
      </c>
      <c r="AC549" s="547">
        <v>1</v>
      </c>
      <c r="AD549" s="536" t="s">
        <v>118</v>
      </c>
      <c r="AE549" s="537">
        <v>50</v>
      </c>
      <c r="AF549" s="12"/>
      <c r="AG549" s="536"/>
      <c r="AH549" s="536"/>
      <c r="AI549" s="547"/>
      <c r="AJ549" s="536"/>
      <c r="AK549" s="538"/>
      <c r="AL549" s="12"/>
      <c r="AM549" s="536"/>
      <c r="AN549" s="536"/>
      <c r="AO549" s="547"/>
      <c r="AP549" s="536"/>
      <c r="AQ549" s="538"/>
      <c r="AR549" s="530"/>
    </row>
    <row r="550" spans="1:44" ht="18.75">
      <c r="A550" s="1008"/>
      <c r="B550" s="1008"/>
      <c r="C550" s="1025"/>
      <c r="D550" s="1024"/>
      <c r="E550" s="1017"/>
      <c r="F550" s="1018"/>
      <c r="G550" s="1017"/>
      <c r="H550" s="536"/>
      <c r="I550" s="536"/>
      <c r="J550" s="536"/>
      <c r="K550" s="47"/>
      <c r="L550" s="50"/>
      <c r="M550" s="537"/>
      <c r="N550" s="318"/>
      <c r="O550" s="549"/>
      <c r="P550" s="1008"/>
      <c r="Q550" s="539"/>
      <c r="R550" s="43"/>
      <c r="S550" s="1035"/>
      <c r="T550" s="12"/>
      <c r="U550" s="536"/>
      <c r="V550" s="536"/>
      <c r="W550" s="547"/>
      <c r="X550" s="536"/>
      <c r="Y550" s="537"/>
      <c r="Z550" s="536"/>
      <c r="AA550" s="536"/>
      <c r="AB550" s="536"/>
      <c r="AC550" s="47"/>
      <c r="AD550" s="50"/>
      <c r="AE550" s="537"/>
      <c r="AF550" s="12"/>
      <c r="AG550" s="536"/>
      <c r="AH550" s="536"/>
      <c r="AI550" s="547"/>
      <c r="AJ550" s="536"/>
      <c r="AK550" s="538"/>
      <c r="AL550" s="12"/>
      <c r="AM550" s="536"/>
      <c r="AN550" s="536"/>
      <c r="AO550" s="547"/>
      <c r="AP550" s="536"/>
      <c r="AQ550" s="538"/>
      <c r="AR550" s="530"/>
    </row>
    <row r="551" spans="1:44" ht="56.25">
      <c r="A551" s="1008">
        <v>289</v>
      </c>
      <c r="B551" s="1008">
        <v>740692</v>
      </c>
      <c r="C551" s="1025" t="s">
        <v>416</v>
      </c>
      <c r="D551" s="1024">
        <v>0.73499999999999999</v>
      </c>
      <c r="E551" s="1017">
        <v>6248</v>
      </c>
      <c r="F551" s="1018">
        <v>0.73499999999999999</v>
      </c>
      <c r="G551" s="1017">
        <v>6248</v>
      </c>
      <c r="H551" s="536"/>
      <c r="I551" s="536"/>
      <c r="J551" s="536"/>
      <c r="K551" s="47"/>
      <c r="L551" s="50"/>
      <c r="M551" s="537"/>
      <c r="N551" s="318"/>
      <c r="O551" s="549"/>
      <c r="P551" s="1008"/>
      <c r="Q551" s="547"/>
      <c r="R551" s="553"/>
      <c r="S551" s="1034"/>
      <c r="T551" s="12"/>
      <c r="U551" s="536"/>
      <c r="V551" s="536"/>
      <c r="W551" s="547"/>
      <c r="X551" s="536"/>
      <c r="Y551" s="537"/>
      <c r="Z551" s="536"/>
      <c r="AA551" s="536"/>
      <c r="AB551" s="536" t="s">
        <v>93</v>
      </c>
      <c r="AC551" s="547">
        <v>1</v>
      </c>
      <c r="AD551" s="536" t="s">
        <v>118</v>
      </c>
      <c r="AE551" s="537">
        <v>50</v>
      </c>
      <c r="AF551" s="12"/>
      <c r="AG551" s="536"/>
      <c r="AH551" s="536"/>
      <c r="AI551" s="547"/>
      <c r="AJ551" s="536"/>
      <c r="AK551" s="538"/>
      <c r="AL551" s="12"/>
      <c r="AM551" s="536"/>
      <c r="AN551" s="536"/>
      <c r="AO551" s="547"/>
      <c r="AP551" s="536"/>
      <c r="AQ551" s="538"/>
      <c r="AR551" s="530"/>
    </row>
    <row r="552" spans="1:44" ht="18.75">
      <c r="A552" s="1008"/>
      <c r="B552" s="1008"/>
      <c r="C552" s="1025"/>
      <c r="D552" s="1024"/>
      <c r="E552" s="1017"/>
      <c r="F552" s="1018"/>
      <c r="G552" s="1017"/>
      <c r="H552" s="536"/>
      <c r="I552" s="536"/>
      <c r="J552" s="536"/>
      <c r="K552" s="47"/>
      <c r="L552" s="50"/>
      <c r="M552" s="537"/>
      <c r="N552" s="318"/>
      <c r="O552" s="549"/>
      <c r="P552" s="1008"/>
      <c r="Q552" s="539"/>
      <c r="R552" s="43"/>
      <c r="S552" s="1035"/>
      <c r="T552" s="12"/>
      <c r="U552" s="536"/>
      <c r="V552" s="536"/>
      <c r="W552" s="547"/>
      <c r="X552" s="536"/>
      <c r="Y552" s="537"/>
      <c r="Z552" s="536"/>
      <c r="AA552" s="536"/>
      <c r="AB552" s="536"/>
      <c r="AC552" s="47"/>
      <c r="AD552" s="50"/>
      <c r="AE552" s="537"/>
      <c r="AF552" s="12"/>
      <c r="AG552" s="536"/>
      <c r="AH552" s="536"/>
      <c r="AI552" s="547"/>
      <c r="AJ552" s="536"/>
      <c r="AK552" s="538"/>
      <c r="AL552" s="12"/>
      <c r="AM552" s="536"/>
      <c r="AN552" s="536"/>
      <c r="AO552" s="547"/>
      <c r="AP552" s="536"/>
      <c r="AQ552" s="538"/>
      <c r="AR552" s="530"/>
    </row>
    <row r="553" spans="1:44" ht="56.25">
      <c r="A553" s="1008">
        <v>290</v>
      </c>
      <c r="B553" s="1008">
        <v>736033</v>
      </c>
      <c r="C553" s="1025" t="s">
        <v>417</v>
      </c>
      <c r="D553" s="1024">
        <v>2.08</v>
      </c>
      <c r="E553" s="1017">
        <v>13570</v>
      </c>
      <c r="F553" s="1018">
        <v>2.08</v>
      </c>
      <c r="G553" s="1017">
        <v>13570</v>
      </c>
      <c r="H553" s="536"/>
      <c r="I553" s="536"/>
      <c r="J553" s="536"/>
      <c r="K553" s="47"/>
      <c r="L553" s="50"/>
      <c r="M553" s="537"/>
      <c r="N553" s="318"/>
      <c r="O553" s="549"/>
      <c r="P553" s="1008"/>
      <c r="Q553" s="547"/>
      <c r="R553" s="553"/>
      <c r="S553" s="1034"/>
      <c r="T553" s="12"/>
      <c r="U553" s="536"/>
      <c r="V553" s="536"/>
      <c r="W553" s="547"/>
      <c r="X553" s="536"/>
      <c r="Y553" s="537"/>
      <c r="Z553" s="536"/>
      <c r="AA553" s="536"/>
      <c r="AB553" s="536" t="s">
        <v>93</v>
      </c>
      <c r="AC553" s="547">
        <v>1</v>
      </c>
      <c r="AD553" s="536" t="s">
        <v>118</v>
      </c>
      <c r="AE553" s="537">
        <v>50</v>
      </c>
      <c r="AF553" s="12"/>
      <c r="AG553" s="536"/>
      <c r="AH553" s="536"/>
      <c r="AI553" s="547"/>
      <c r="AJ553" s="536"/>
      <c r="AK553" s="538"/>
      <c r="AL553" s="12"/>
      <c r="AM553" s="536"/>
      <c r="AN553" s="536"/>
      <c r="AO553" s="547"/>
      <c r="AP553" s="536"/>
      <c r="AQ553" s="538"/>
      <c r="AR553" s="530"/>
    </row>
    <row r="554" spans="1:44" ht="18.75">
      <c r="A554" s="1008"/>
      <c r="B554" s="1008"/>
      <c r="C554" s="1025"/>
      <c r="D554" s="1024"/>
      <c r="E554" s="1017"/>
      <c r="F554" s="1018"/>
      <c r="G554" s="1017"/>
      <c r="H554" s="536"/>
      <c r="I554" s="536"/>
      <c r="J554" s="536"/>
      <c r="K554" s="47"/>
      <c r="L554" s="50"/>
      <c r="M554" s="537"/>
      <c r="N554" s="318"/>
      <c r="O554" s="549"/>
      <c r="P554" s="1008"/>
      <c r="Q554" s="539"/>
      <c r="R554" s="43"/>
      <c r="S554" s="1035"/>
      <c r="T554" s="12"/>
      <c r="U554" s="536"/>
      <c r="V554" s="536"/>
      <c r="W554" s="547"/>
      <c r="X554" s="536"/>
      <c r="Y554" s="537"/>
      <c r="Z554" s="536"/>
      <c r="AA554" s="536"/>
      <c r="AB554" s="536"/>
      <c r="AC554" s="47"/>
      <c r="AD554" s="50"/>
      <c r="AE554" s="537"/>
      <c r="AF554" s="12"/>
      <c r="AG554" s="536"/>
      <c r="AH554" s="536"/>
      <c r="AI554" s="547"/>
      <c r="AJ554" s="536"/>
      <c r="AK554" s="538"/>
      <c r="AL554" s="12"/>
      <c r="AM554" s="536"/>
      <c r="AN554" s="536"/>
      <c r="AO554" s="547"/>
      <c r="AP554" s="536"/>
      <c r="AQ554" s="538"/>
      <c r="AR554" s="530"/>
    </row>
    <row r="555" spans="1:44" ht="56.25">
      <c r="A555" s="1008">
        <v>291</v>
      </c>
      <c r="B555" s="1008">
        <v>739606</v>
      </c>
      <c r="C555" s="1025" t="s">
        <v>418</v>
      </c>
      <c r="D555" s="1024">
        <v>0.20499999999999999</v>
      </c>
      <c r="E555" s="1017">
        <v>2665</v>
      </c>
      <c r="F555" s="1018">
        <v>0.20499999999999999</v>
      </c>
      <c r="G555" s="1017">
        <v>2665</v>
      </c>
      <c r="H555" s="536"/>
      <c r="I555" s="536"/>
      <c r="J555" s="536"/>
      <c r="K555" s="47"/>
      <c r="L555" s="50"/>
      <c r="M555" s="537"/>
      <c r="N555" s="318"/>
      <c r="O555" s="549"/>
      <c r="P555" s="1008"/>
      <c r="Q555" s="547"/>
      <c r="R555" s="553"/>
      <c r="S555" s="1034"/>
      <c r="T555" s="12"/>
      <c r="U555" s="536"/>
      <c r="V555" s="536"/>
      <c r="W555" s="547"/>
      <c r="X555" s="536"/>
      <c r="Y555" s="537"/>
      <c r="Z555" s="536"/>
      <c r="AA555" s="536"/>
      <c r="AB555" s="536" t="s">
        <v>93</v>
      </c>
      <c r="AC555" s="547">
        <v>1</v>
      </c>
      <c r="AD555" s="536" t="s">
        <v>118</v>
      </c>
      <c r="AE555" s="537">
        <v>50</v>
      </c>
      <c r="AF555" s="12"/>
      <c r="AG555" s="536"/>
      <c r="AH555" s="536"/>
      <c r="AI555" s="547"/>
      <c r="AJ555" s="536"/>
      <c r="AK555" s="538"/>
      <c r="AL555" s="12"/>
      <c r="AM555" s="536"/>
      <c r="AN555" s="536"/>
      <c r="AO555" s="547"/>
      <c r="AP555" s="536"/>
      <c r="AQ555" s="538"/>
      <c r="AR555" s="530"/>
    </row>
    <row r="556" spans="1:44" ht="18.75">
      <c r="A556" s="1008"/>
      <c r="B556" s="1008"/>
      <c r="C556" s="1025"/>
      <c r="D556" s="1024"/>
      <c r="E556" s="1017"/>
      <c r="F556" s="1018"/>
      <c r="G556" s="1017"/>
      <c r="H556" s="536"/>
      <c r="I556" s="536"/>
      <c r="J556" s="536"/>
      <c r="K556" s="47"/>
      <c r="L556" s="50"/>
      <c r="M556" s="537"/>
      <c r="N556" s="318"/>
      <c r="O556" s="549"/>
      <c r="P556" s="1008"/>
      <c r="Q556" s="539"/>
      <c r="R556" s="43"/>
      <c r="S556" s="1035"/>
      <c r="T556" s="12"/>
      <c r="U556" s="536"/>
      <c r="V556" s="536"/>
      <c r="W556" s="547"/>
      <c r="X556" s="536"/>
      <c r="Y556" s="537"/>
      <c r="Z556" s="536"/>
      <c r="AA556" s="536"/>
      <c r="AB556" s="536"/>
      <c r="AC556" s="47"/>
      <c r="AD556" s="50"/>
      <c r="AE556" s="537"/>
      <c r="AF556" s="12"/>
      <c r="AG556" s="536"/>
      <c r="AH556" s="536"/>
      <c r="AI556" s="547"/>
      <c r="AJ556" s="536"/>
      <c r="AK556" s="538"/>
      <c r="AL556" s="12"/>
      <c r="AM556" s="536"/>
      <c r="AN556" s="536"/>
      <c r="AO556" s="547"/>
      <c r="AP556" s="536"/>
      <c r="AQ556" s="538"/>
      <c r="AR556" s="530"/>
    </row>
    <row r="557" spans="1:44" ht="18.75">
      <c r="A557" s="1008">
        <v>292</v>
      </c>
      <c r="B557" s="1008">
        <v>736625</v>
      </c>
      <c r="C557" s="1025" t="s">
        <v>419</v>
      </c>
      <c r="D557" s="1024">
        <v>0.41</v>
      </c>
      <c r="E557" s="1017">
        <v>6164</v>
      </c>
      <c r="F557" s="1018">
        <v>0.41</v>
      </c>
      <c r="G557" s="1017">
        <v>6164</v>
      </c>
      <c r="H557" s="536"/>
      <c r="I557" s="536"/>
      <c r="J557" s="536"/>
      <c r="K557" s="47"/>
      <c r="L557" s="50"/>
      <c r="M557" s="537"/>
      <c r="N557" s="903" t="s">
        <v>60</v>
      </c>
      <c r="O557" s="903" t="s">
        <v>2927</v>
      </c>
      <c r="P557" s="1020" t="s">
        <v>114</v>
      </c>
      <c r="Q557" s="547">
        <v>0.41</v>
      </c>
      <c r="R557" s="553" t="s">
        <v>17</v>
      </c>
      <c r="S557" s="1034">
        <v>7847.37</v>
      </c>
      <c r="T557" s="12"/>
      <c r="U557" s="536"/>
      <c r="V557" s="536"/>
      <c r="W557" s="547"/>
      <c r="X557" s="536"/>
      <c r="Y557" s="537"/>
      <c r="Z557" s="536"/>
      <c r="AA557" s="536"/>
      <c r="AB557" s="536"/>
      <c r="AC557" s="47"/>
      <c r="AD557" s="50"/>
      <c r="AE557" s="537"/>
      <c r="AF557" s="12"/>
      <c r="AG557" s="536"/>
      <c r="AH557" s="536"/>
      <c r="AI557" s="547"/>
      <c r="AJ557" s="536"/>
      <c r="AK557" s="538"/>
      <c r="AL557" s="12"/>
      <c r="AM557" s="536"/>
      <c r="AN557" s="536"/>
      <c r="AO557" s="547"/>
      <c r="AP557" s="536"/>
      <c r="AQ557" s="538"/>
      <c r="AR557" s="530"/>
    </row>
    <row r="558" spans="1:44" ht="18.75">
      <c r="A558" s="1008"/>
      <c r="B558" s="1008"/>
      <c r="C558" s="1025"/>
      <c r="D558" s="1024"/>
      <c r="E558" s="1017"/>
      <c r="F558" s="1018"/>
      <c r="G558" s="1017"/>
      <c r="H558" s="536"/>
      <c r="I558" s="536"/>
      <c r="J558" s="536"/>
      <c r="K558" s="47"/>
      <c r="L558" s="50"/>
      <c r="M558" s="537"/>
      <c r="N558" s="903"/>
      <c r="O558" s="903"/>
      <c r="P558" s="1020"/>
      <c r="Q558" s="539">
        <f>Q557*G557/F557</f>
        <v>6164</v>
      </c>
      <c r="R558" s="43" t="s">
        <v>32</v>
      </c>
      <c r="S558" s="1035"/>
      <c r="T558" s="12"/>
      <c r="U558" s="536"/>
      <c r="V558" s="536"/>
      <c r="W558" s="547"/>
      <c r="X558" s="536"/>
      <c r="Y558" s="537"/>
      <c r="Z558" s="536"/>
      <c r="AA558" s="536"/>
      <c r="AB558" s="536"/>
      <c r="AC558" s="47"/>
      <c r="AD558" s="50"/>
      <c r="AE558" s="537"/>
      <c r="AF558" s="12"/>
      <c r="AG558" s="536"/>
      <c r="AH558" s="536"/>
      <c r="AI558" s="547"/>
      <c r="AJ558" s="536"/>
      <c r="AK558" s="538"/>
      <c r="AL558" s="12"/>
      <c r="AM558" s="536"/>
      <c r="AN558" s="536"/>
      <c r="AO558" s="547"/>
      <c r="AP558" s="536"/>
      <c r="AQ558" s="538"/>
      <c r="AR558" s="530"/>
    </row>
    <row r="559" spans="1:44" ht="56.25">
      <c r="A559" s="1008">
        <v>293</v>
      </c>
      <c r="B559" s="1008">
        <v>738949</v>
      </c>
      <c r="C559" s="1025" t="s">
        <v>420</v>
      </c>
      <c r="D559" s="1024">
        <v>0.73799999999999999</v>
      </c>
      <c r="E559" s="1017">
        <v>6352</v>
      </c>
      <c r="F559" s="1018">
        <v>0.73799999999999999</v>
      </c>
      <c r="G559" s="1017">
        <v>6352</v>
      </c>
      <c r="H559" s="536"/>
      <c r="I559" s="536"/>
      <c r="J559" s="536"/>
      <c r="K559" s="47"/>
      <c r="L559" s="50"/>
      <c r="M559" s="537"/>
      <c r="N559" s="318"/>
      <c r="O559" s="549"/>
      <c r="P559" s="1008"/>
      <c r="Q559" s="547"/>
      <c r="R559" s="553"/>
      <c r="S559" s="1034"/>
      <c r="T559" s="12"/>
      <c r="U559" s="536"/>
      <c r="V559" s="536"/>
      <c r="W559" s="547"/>
      <c r="X559" s="536"/>
      <c r="Y559" s="537"/>
      <c r="Z559" s="536"/>
      <c r="AA559" s="536"/>
      <c r="AB559" s="536"/>
      <c r="AC559" s="47"/>
      <c r="AD559" s="50"/>
      <c r="AE559" s="537"/>
      <c r="AF559" s="12"/>
      <c r="AG559" s="536"/>
      <c r="AH559" s="536" t="s">
        <v>93</v>
      </c>
      <c r="AI559" s="547">
        <v>1</v>
      </c>
      <c r="AJ559" s="536" t="s">
        <v>118</v>
      </c>
      <c r="AK559" s="537">
        <v>50</v>
      </c>
      <c r="AL559" s="12"/>
      <c r="AM559" s="536"/>
      <c r="AN559" s="536"/>
      <c r="AO559" s="547"/>
      <c r="AP559" s="536"/>
      <c r="AQ559" s="538"/>
      <c r="AR559" s="530"/>
    </row>
    <row r="560" spans="1:44" ht="18.75">
      <c r="A560" s="1008"/>
      <c r="B560" s="1008"/>
      <c r="C560" s="1025"/>
      <c r="D560" s="1024"/>
      <c r="E560" s="1017"/>
      <c r="F560" s="1018"/>
      <c r="G560" s="1017"/>
      <c r="H560" s="536"/>
      <c r="I560" s="536"/>
      <c r="J560" s="536"/>
      <c r="K560" s="47"/>
      <c r="L560" s="50"/>
      <c r="M560" s="537"/>
      <c r="N560" s="318"/>
      <c r="O560" s="549"/>
      <c r="P560" s="1008"/>
      <c r="Q560" s="539"/>
      <c r="R560" s="43"/>
      <c r="S560" s="1035"/>
      <c r="T560" s="12"/>
      <c r="U560" s="536"/>
      <c r="V560" s="536"/>
      <c r="W560" s="547"/>
      <c r="X560" s="536"/>
      <c r="Y560" s="537"/>
      <c r="Z560" s="536"/>
      <c r="AA560" s="536"/>
      <c r="AB560" s="536"/>
      <c r="AC560" s="47"/>
      <c r="AD560" s="50"/>
      <c r="AE560" s="537"/>
      <c r="AF560" s="12"/>
      <c r="AG560" s="536"/>
      <c r="AH560" s="536"/>
      <c r="AI560" s="547"/>
      <c r="AJ560" s="536"/>
      <c r="AK560" s="538"/>
      <c r="AL560" s="12"/>
      <c r="AM560" s="536"/>
      <c r="AN560" s="536"/>
      <c r="AO560" s="547"/>
      <c r="AP560" s="536"/>
      <c r="AQ560" s="538"/>
      <c r="AR560" s="530"/>
    </row>
    <row r="561" spans="1:44" ht="18.75">
      <c r="A561" s="1008">
        <v>294</v>
      </c>
      <c r="B561" s="1008">
        <v>738853</v>
      </c>
      <c r="C561" s="1025" t="s">
        <v>421</v>
      </c>
      <c r="D561" s="1024">
        <v>0.371</v>
      </c>
      <c r="E561" s="1017">
        <v>3854</v>
      </c>
      <c r="F561" s="1018">
        <v>0.371</v>
      </c>
      <c r="G561" s="1017">
        <v>3854</v>
      </c>
      <c r="H561" s="536"/>
      <c r="I561" s="536"/>
      <c r="J561" s="536"/>
      <c r="K561" s="47"/>
      <c r="L561" s="50"/>
      <c r="M561" s="537"/>
      <c r="N561" s="903" t="s">
        <v>60</v>
      </c>
      <c r="O561" s="903" t="s">
        <v>2928</v>
      </c>
      <c r="P561" s="1020" t="s">
        <v>114</v>
      </c>
      <c r="Q561" s="547">
        <v>0.371</v>
      </c>
      <c r="R561" s="553" t="s">
        <v>17</v>
      </c>
      <c r="S561" s="1034">
        <v>4906.51</v>
      </c>
      <c r="T561" s="12"/>
      <c r="U561" s="536"/>
      <c r="V561" s="536"/>
      <c r="W561" s="547"/>
      <c r="X561" s="536"/>
      <c r="Y561" s="537"/>
      <c r="Z561" s="536"/>
      <c r="AA561" s="536"/>
      <c r="AB561" s="536"/>
      <c r="AC561" s="47"/>
      <c r="AD561" s="50"/>
      <c r="AE561" s="537"/>
      <c r="AF561" s="12"/>
      <c r="AG561" s="536"/>
      <c r="AH561" s="536"/>
      <c r="AI561" s="547"/>
      <c r="AJ561" s="536"/>
      <c r="AK561" s="538"/>
      <c r="AL561" s="12"/>
      <c r="AM561" s="536"/>
      <c r="AN561" s="536"/>
      <c r="AO561" s="547"/>
      <c r="AP561" s="536"/>
      <c r="AQ561" s="538"/>
      <c r="AR561" s="530"/>
    </row>
    <row r="562" spans="1:44" ht="18.75">
      <c r="A562" s="1008"/>
      <c r="B562" s="1008"/>
      <c r="C562" s="1025"/>
      <c r="D562" s="1024"/>
      <c r="E562" s="1017"/>
      <c r="F562" s="1018"/>
      <c r="G562" s="1017"/>
      <c r="H562" s="536"/>
      <c r="I562" s="536"/>
      <c r="J562" s="536"/>
      <c r="K562" s="47"/>
      <c r="L562" s="50"/>
      <c r="M562" s="537"/>
      <c r="N562" s="903"/>
      <c r="O562" s="903"/>
      <c r="P562" s="1020"/>
      <c r="Q562" s="539">
        <f>Q561*G561/F561</f>
        <v>3854</v>
      </c>
      <c r="R562" s="43" t="s">
        <v>32</v>
      </c>
      <c r="S562" s="1035"/>
      <c r="T562" s="12"/>
      <c r="U562" s="536"/>
      <c r="V562" s="536"/>
      <c r="W562" s="547"/>
      <c r="X562" s="536"/>
      <c r="Y562" s="537"/>
      <c r="Z562" s="536"/>
      <c r="AA562" s="536"/>
      <c r="AB562" s="536"/>
      <c r="AC562" s="47"/>
      <c r="AD562" s="50"/>
      <c r="AE562" s="537"/>
      <c r="AF562" s="12"/>
      <c r="AG562" s="536"/>
      <c r="AH562" s="536"/>
      <c r="AI562" s="547"/>
      <c r="AJ562" s="536"/>
      <c r="AK562" s="538"/>
      <c r="AL562" s="12"/>
      <c r="AM562" s="536"/>
      <c r="AN562" s="536"/>
      <c r="AO562" s="547"/>
      <c r="AP562" s="536"/>
      <c r="AQ562" s="538"/>
      <c r="AR562" s="530"/>
    </row>
    <row r="563" spans="1:44" ht="56.25">
      <c r="A563" s="1008">
        <v>295</v>
      </c>
      <c r="B563" s="1008">
        <v>736074</v>
      </c>
      <c r="C563" s="1025" t="s">
        <v>422</v>
      </c>
      <c r="D563" s="1024">
        <v>1.4059999999999999</v>
      </c>
      <c r="E563" s="1017">
        <v>13115</v>
      </c>
      <c r="F563" s="1018">
        <v>1.4059999999999999</v>
      </c>
      <c r="G563" s="1017">
        <v>13115</v>
      </c>
      <c r="H563" s="536"/>
      <c r="I563" s="536"/>
      <c r="J563" s="536"/>
      <c r="K563" s="47"/>
      <c r="L563" s="50"/>
      <c r="M563" s="537"/>
      <c r="N563" s="318"/>
      <c r="O563" s="549"/>
      <c r="P563" s="1008"/>
      <c r="Q563" s="547"/>
      <c r="R563" s="553"/>
      <c r="S563" s="1034"/>
      <c r="T563" s="12"/>
      <c r="U563" s="536"/>
      <c r="V563" s="536"/>
      <c r="W563" s="547"/>
      <c r="X563" s="536"/>
      <c r="Y563" s="537"/>
      <c r="Z563" s="536"/>
      <c r="AA563" s="536"/>
      <c r="AB563" s="536"/>
      <c r="AC563" s="47"/>
      <c r="AD563" s="50"/>
      <c r="AE563" s="537"/>
      <c r="AF563" s="12"/>
      <c r="AG563" s="536"/>
      <c r="AH563" s="536" t="s">
        <v>93</v>
      </c>
      <c r="AI563" s="547">
        <v>1</v>
      </c>
      <c r="AJ563" s="536" t="s">
        <v>118</v>
      </c>
      <c r="AK563" s="537">
        <v>50</v>
      </c>
      <c r="AL563" s="12"/>
      <c r="AM563" s="536"/>
      <c r="AN563" s="536"/>
      <c r="AO563" s="547"/>
      <c r="AP563" s="536"/>
      <c r="AQ563" s="538"/>
      <c r="AR563" s="530"/>
    </row>
    <row r="564" spans="1:44" ht="18.75">
      <c r="A564" s="1008"/>
      <c r="B564" s="1008"/>
      <c r="C564" s="1025"/>
      <c r="D564" s="1024"/>
      <c r="E564" s="1017"/>
      <c r="F564" s="1018"/>
      <c r="G564" s="1017"/>
      <c r="H564" s="536"/>
      <c r="I564" s="536"/>
      <c r="J564" s="536"/>
      <c r="K564" s="47"/>
      <c r="L564" s="50"/>
      <c r="M564" s="537"/>
      <c r="N564" s="318"/>
      <c r="O564" s="549"/>
      <c r="P564" s="1008"/>
      <c r="Q564" s="539"/>
      <c r="R564" s="43"/>
      <c r="S564" s="1035"/>
      <c r="T564" s="12"/>
      <c r="U564" s="536"/>
      <c r="V564" s="536"/>
      <c r="W564" s="547"/>
      <c r="X564" s="536"/>
      <c r="Y564" s="537"/>
      <c r="Z564" s="536"/>
      <c r="AA564" s="536"/>
      <c r="AB564" s="536"/>
      <c r="AC564" s="47"/>
      <c r="AD564" s="50"/>
      <c r="AE564" s="537"/>
      <c r="AF564" s="12"/>
      <c r="AG564" s="536"/>
      <c r="AH564" s="536"/>
      <c r="AI564" s="547"/>
      <c r="AJ564" s="536"/>
      <c r="AK564" s="538"/>
      <c r="AL564" s="12"/>
      <c r="AM564" s="536"/>
      <c r="AN564" s="536"/>
      <c r="AO564" s="547"/>
      <c r="AP564" s="536"/>
      <c r="AQ564" s="538"/>
      <c r="AR564" s="530"/>
    </row>
    <row r="565" spans="1:44" ht="56.25">
      <c r="A565" s="1008">
        <v>296</v>
      </c>
      <c r="B565" s="1008">
        <v>736074</v>
      </c>
      <c r="C565" s="1025" t="s">
        <v>423</v>
      </c>
      <c r="D565" s="1024">
        <v>1.5</v>
      </c>
      <c r="E565" s="1017">
        <v>12000</v>
      </c>
      <c r="F565" s="1018">
        <v>1.5</v>
      </c>
      <c r="G565" s="1017">
        <v>12000</v>
      </c>
      <c r="H565" s="536"/>
      <c r="I565" s="536"/>
      <c r="J565" s="536"/>
      <c r="K565" s="47"/>
      <c r="L565" s="50"/>
      <c r="M565" s="537"/>
      <c r="N565" s="318"/>
      <c r="O565" s="549"/>
      <c r="P565" s="1008"/>
      <c r="Q565" s="547"/>
      <c r="R565" s="553"/>
      <c r="S565" s="1034"/>
      <c r="T565" s="12"/>
      <c r="U565" s="536"/>
      <c r="V565" s="536"/>
      <c r="W565" s="547"/>
      <c r="X565" s="536"/>
      <c r="Y565" s="537"/>
      <c r="Z565" s="536"/>
      <c r="AA565" s="536"/>
      <c r="AB565" s="536"/>
      <c r="AC565" s="47"/>
      <c r="AD565" s="50"/>
      <c r="AE565" s="537"/>
      <c r="AF565" s="12"/>
      <c r="AG565" s="536"/>
      <c r="AH565" s="536" t="s">
        <v>93</v>
      </c>
      <c r="AI565" s="547">
        <v>1</v>
      </c>
      <c r="AJ565" s="536" t="s">
        <v>118</v>
      </c>
      <c r="AK565" s="537">
        <v>50</v>
      </c>
      <c r="AL565" s="12"/>
      <c r="AM565" s="536"/>
      <c r="AN565" s="536"/>
      <c r="AO565" s="547"/>
      <c r="AP565" s="536"/>
      <c r="AQ565" s="538"/>
      <c r="AR565" s="530"/>
    </row>
    <row r="566" spans="1:44" ht="18.75">
      <c r="A566" s="1008"/>
      <c r="B566" s="1008"/>
      <c r="C566" s="1025"/>
      <c r="D566" s="1024"/>
      <c r="E566" s="1017"/>
      <c r="F566" s="1018"/>
      <c r="G566" s="1017"/>
      <c r="H566" s="536"/>
      <c r="I566" s="536"/>
      <c r="J566" s="536"/>
      <c r="K566" s="47"/>
      <c r="L566" s="50"/>
      <c r="M566" s="537"/>
      <c r="N566" s="318"/>
      <c r="O566" s="549"/>
      <c r="P566" s="1008"/>
      <c r="Q566" s="539"/>
      <c r="R566" s="43"/>
      <c r="S566" s="1035"/>
      <c r="T566" s="12"/>
      <c r="U566" s="536"/>
      <c r="V566" s="536"/>
      <c r="W566" s="547"/>
      <c r="X566" s="536"/>
      <c r="Y566" s="537"/>
      <c r="Z566" s="536"/>
      <c r="AA566" s="536"/>
      <c r="AB566" s="536"/>
      <c r="AC566" s="47"/>
      <c r="AD566" s="50"/>
      <c r="AE566" s="537"/>
      <c r="AF566" s="12"/>
      <c r="AG566" s="536"/>
      <c r="AH566" s="536"/>
      <c r="AI566" s="547"/>
      <c r="AJ566" s="536"/>
      <c r="AK566" s="538"/>
      <c r="AL566" s="12"/>
      <c r="AM566" s="536"/>
      <c r="AN566" s="536"/>
      <c r="AO566" s="547"/>
      <c r="AP566" s="536"/>
      <c r="AQ566" s="538"/>
      <c r="AR566" s="530"/>
    </row>
    <row r="567" spans="1:44" ht="56.25">
      <c r="A567" s="1008">
        <v>297</v>
      </c>
      <c r="B567" s="1008">
        <v>742853</v>
      </c>
      <c r="C567" s="1025" t="s">
        <v>424</v>
      </c>
      <c r="D567" s="1024">
        <v>0.82899999999999996</v>
      </c>
      <c r="E567" s="1017">
        <v>5800</v>
      </c>
      <c r="F567" s="1018">
        <v>0.82899999999999996</v>
      </c>
      <c r="G567" s="1017">
        <v>5800</v>
      </c>
      <c r="H567" s="536"/>
      <c r="I567" s="536"/>
      <c r="J567" s="536"/>
      <c r="K567" s="47"/>
      <c r="L567" s="50"/>
      <c r="M567" s="537"/>
      <c r="N567" s="318"/>
      <c r="O567" s="549"/>
      <c r="P567" s="1008"/>
      <c r="Q567" s="547"/>
      <c r="R567" s="553"/>
      <c r="S567" s="1034"/>
      <c r="T567" s="12"/>
      <c r="U567" s="536"/>
      <c r="V567" s="536"/>
      <c r="W567" s="547"/>
      <c r="X567" s="536"/>
      <c r="Y567" s="537"/>
      <c r="Z567" s="536"/>
      <c r="AA567" s="536"/>
      <c r="AB567" s="536"/>
      <c r="AC567" s="47"/>
      <c r="AD567" s="50"/>
      <c r="AE567" s="537"/>
      <c r="AF567" s="12"/>
      <c r="AG567" s="536"/>
      <c r="AH567" s="536" t="s">
        <v>93</v>
      </c>
      <c r="AI567" s="547">
        <v>1</v>
      </c>
      <c r="AJ567" s="536" t="s">
        <v>118</v>
      </c>
      <c r="AK567" s="537">
        <v>50</v>
      </c>
      <c r="AL567" s="12"/>
      <c r="AM567" s="536"/>
      <c r="AN567" s="536"/>
      <c r="AO567" s="547"/>
      <c r="AP567" s="536"/>
      <c r="AQ567" s="538"/>
      <c r="AR567" s="530"/>
    </row>
    <row r="568" spans="1:44" ht="18.75">
      <c r="A568" s="1008"/>
      <c r="B568" s="1008"/>
      <c r="C568" s="1025"/>
      <c r="D568" s="1024"/>
      <c r="E568" s="1017"/>
      <c r="F568" s="1018"/>
      <c r="G568" s="1017"/>
      <c r="H568" s="536"/>
      <c r="I568" s="536"/>
      <c r="J568" s="536"/>
      <c r="K568" s="47"/>
      <c r="L568" s="50"/>
      <c r="M568" s="537"/>
      <c r="N568" s="318"/>
      <c r="O568" s="549"/>
      <c r="P568" s="1008"/>
      <c r="Q568" s="539"/>
      <c r="R568" s="43"/>
      <c r="S568" s="1035"/>
      <c r="T568" s="12"/>
      <c r="U568" s="536"/>
      <c r="V568" s="536"/>
      <c r="W568" s="547"/>
      <c r="X568" s="536"/>
      <c r="Y568" s="537"/>
      <c r="Z568" s="536"/>
      <c r="AA568" s="536"/>
      <c r="AB568" s="536"/>
      <c r="AC568" s="47"/>
      <c r="AD568" s="50"/>
      <c r="AE568" s="537"/>
      <c r="AF568" s="12"/>
      <c r="AG568" s="536"/>
      <c r="AH568" s="536"/>
      <c r="AI568" s="547"/>
      <c r="AJ568" s="536"/>
      <c r="AK568" s="538"/>
      <c r="AL568" s="12"/>
      <c r="AM568" s="536"/>
      <c r="AN568" s="536"/>
      <c r="AO568" s="547"/>
      <c r="AP568" s="536"/>
      <c r="AQ568" s="538"/>
      <c r="AR568" s="530"/>
    </row>
    <row r="569" spans="1:44" ht="56.25">
      <c r="A569" s="1008">
        <v>298</v>
      </c>
      <c r="B569" s="1008">
        <v>738687</v>
      </c>
      <c r="C569" s="1025" t="s">
        <v>425</v>
      </c>
      <c r="D569" s="1024">
        <v>0.58199999999999996</v>
      </c>
      <c r="E569" s="1017">
        <v>3758</v>
      </c>
      <c r="F569" s="1018">
        <v>0.58199999999999996</v>
      </c>
      <c r="G569" s="1017">
        <v>3758</v>
      </c>
      <c r="H569" s="536"/>
      <c r="I569" s="536"/>
      <c r="J569" s="536"/>
      <c r="K569" s="47"/>
      <c r="L569" s="50"/>
      <c r="M569" s="537"/>
      <c r="N569" s="318"/>
      <c r="O569" s="549"/>
      <c r="P569" s="1008"/>
      <c r="Q569" s="547"/>
      <c r="R569" s="553"/>
      <c r="S569" s="1034"/>
      <c r="T569" s="12"/>
      <c r="U569" s="536"/>
      <c r="V569" s="536"/>
      <c r="W569" s="547"/>
      <c r="X569" s="536"/>
      <c r="Y569" s="537"/>
      <c r="Z569" s="536"/>
      <c r="AA569" s="536"/>
      <c r="AB569" s="536"/>
      <c r="AC569" s="47"/>
      <c r="AD569" s="50"/>
      <c r="AE569" s="537"/>
      <c r="AF569" s="12"/>
      <c r="AG569" s="536"/>
      <c r="AH569" s="536"/>
      <c r="AI569" s="547"/>
      <c r="AJ569" s="536"/>
      <c r="AK569" s="538"/>
      <c r="AL569" s="12"/>
      <c r="AM569" s="536"/>
      <c r="AN569" s="536" t="s">
        <v>93</v>
      </c>
      <c r="AO569" s="547">
        <v>1</v>
      </c>
      <c r="AP569" s="536" t="s">
        <v>118</v>
      </c>
      <c r="AQ569" s="537">
        <v>50</v>
      </c>
      <c r="AR569" s="530"/>
    </row>
    <row r="570" spans="1:44" ht="18.75">
      <c r="A570" s="1008"/>
      <c r="B570" s="1008"/>
      <c r="C570" s="1025"/>
      <c r="D570" s="1024"/>
      <c r="E570" s="1017"/>
      <c r="F570" s="1018"/>
      <c r="G570" s="1017"/>
      <c r="H570" s="536"/>
      <c r="I570" s="536"/>
      <c r="J570" s="536"/>
      <c r="K570" s="47"/>
      <c r="L570" s="50"/>
      <c r="M570" s="537"/>
      <c r="N570" s="318"/>
      <c r="O570" s="549"/>
      <c r="P570" s="1008"/>
      <c r="Q570" s="539"/>
      <c r="R570" s="43"/>
      <c r="S570" s="1035"/>
      <c r="T570" s="12"/>
      <c r="U570" s="536"/>
      <c r="V570" s="536"/>
      <c r="W570" s="547"/>
      <c r="X570" s="536"/>
      <c r="Y570" s="537"/>
      <c r="Z570" s="536"/>
      <c r="AA570" s="536"/>
      <c r="AB570" s="536"/>
      <c r="AC570" s="47"/>
      <c r="AD570" s="50"/>
      <c r="AE570" s="537"/>
      <c r="AF570" s="12"/>
      <c r="AG570" s="536"/>
      <c r="AH570" s="536"/>
      <c r="AI570" s="547"/>
      <c r="AJ570" s="536"/>
      <c r="AK570" s="538"/>
      <c r="AL570" s="12"/>
      <c r="AM570" s="536"/>
      <c r="AN570" s="536"/>
      <c r="AO570" s="547"/>
      <c r="AP570" s="536"/>
      <c r="AQ570" s="538"/>
      <c r="AR570" s="530"/>
    </row>
    <row r="571" spans="1:44" ht="56.25">
      <c r="A571" s="1008">
        <v>299</v>
      </c>
      <c r="B571" s="1008">
        <v>2857470</v>
      </c>
      <c r="C571" s="1025" t="s">
        <v>426</v>
      </c>
      <c r="D571" s="1024">
        <v>0.63100000000000001</v>
      </c>
      <c r="E571" s="1017">
        <v>4239</v>
      </c>
      <c r="F571" s="1018">
        <v>0.63100000000000001</v>
      </c>
      <c r="G571" s="1017">
        <v>4239</v>
      </c>
      <c r="H571" s="536"/>
      <c r="I571" s="536"/>
      <c r="J571" s="536"/>
      <c r="K571" s="47"/>
      <c r="L571" s="50"/>
      <c r="M571" s="537"/>
      <c r="N571" s="318"/>
      <c r="O571" s="549"/>
      <c r="P571" s="1008"/>
      <c r="Q571" s="547"/>
      <c r="R571" s="553"/>
      <c r="S571" s="1034"/>
      <c r="T571" s="12"/>
      <c r="U571" s="536"/>
      <c r="V571" s="536"/>
      <c r="W571" s="547"/>
      <c r="X571" s="536"/>
      <c r="Y571" s="537"/>
      <c r="Z571" s="536"/>
      <c r="AA571" s="536"/>
      <c r="AB571" s="536" t="s">
        <v>93</v>
      </c>
      <c r="AC571" s="547">
        <v>1</v>
      </c>
      <c r="AD571" s="536" t="s">
        <v>118</v>
      </c>
      <c r="AE571" s="537">
        <v>50</v>
      </c>
      <c r="AF571" s="12"/>
      <c r="AG571" s="536"/>
      <c r="AH571" s="536"/>
      <c r="AI571" s="547"/>
      <c r="AJ571" s="536"/>
      <c r="AK571" s="538"/>
      <c r="AL571" s="12"/>
      <c r="AM571" s="536"/>
      <c r="AN571" s="536"/>
      <c r="AO571" s="547"/>
      <c r="AP571" s="536"/>
      <c r="AQ571" s="538"/>
      <c r="AR571" s="530"/>
    </row>
    <row r="572" spans="1:44" ht="18.75">
      <c r="A572" s="1008"/>
      <c r="B572" s="1008"/>
      <c r="C572" s="1025"/>
      <c r="D572" s="1024"/>
      <c r="E572" s="1017"/>
      <c r="F572" s="1018"/>
      <c r="G572" s="1017"/>
      <c r="H572" s="536"/>
      <c r="I572" s="536"/>
      <c r="J572" s="536"/>
      <c r="K572" s="47"/>
      <c r="L572" s="50"/>
      <c r="M572" s="537"/>
      <c r="N572" s="318"/>
      <c r="O572" s="549"/>
      <c r="P572" s="1008"/>
      <c r="Q572" s="539"/>
      <c r="R572" s="43"/>
      <c r="S572" s="1035"/>
      <c r="T572" s="12"/>
      <c r="U572" s="536"/>
      <c r="V572" s="536"/>
      <c r="W572" s="547"/>
      <c r="X572" s="536"/>
      <c r="Y572" s="537"/>
      <c r="Z572" s="536"/>
      <c r="AA572" s="536"/>
      <c r="AB572" s="536"/>
      <c r="AC572" s="47"/>
      <c r="AD572" s="50"/>
      <c r="AE572" s="537"/>
      <c r="AF572" s="12"/>
      <c r="AG572" s="536"/>
      <c r="AH572" s="536"/>
      <c r="AI572" s="547"/>
      <c r="AJ572" s="536"/>
      <c r="AK572" s="538"/>
      <c r="AL572" s="12"/>
      <c r="AM572" s="536"/>
      <c r="AN572" s="536"/>
      <c r="AO572" s="547"/>
      <c r="AP572" s="536"/>
      <c r="AQ572" s="538"/>
      <c r="AR572" s="530"/>
    </row>
    <row r="573" spans="1:44" ht="18.75">
      <c r="A573" s="1008">
        <v>300</v>
      </c>
      <c r="B573" s="1008">
        <v>735096</v>
      </c>
      <c r="C573" s="1025" t="s">
        <v>427</v>
      </c>
      <c r="D573" s="1024">
        <v>1.3680000000000001</v>
      </c>
      <c r="E573" s="1017">
        <v>8617</v>
      </c>
      <c r="F573" s="1018">
        <v>1.3680000000000001</v>
      </c>
      <c r="G573" s="1017">
        <v>8617</v>
      </c>
      <c r="H573" s="536"/>
      <c r="I573" s="536"/>
      <c r="J573" s="536"/>
      <c r="K573" s="47"/>
      <c r="L573" s="50"/>
      <c r="M573" s="537"/>
      <c r="N573" s="903" t="s">
        <v>60</v>
      </c>
      <c r="O573" s="903" t="s">
        <v>2929</v>
      </c>
      <c r="P573" s="1020" t="s">
        <v>114</v>
      </c>
      <c r="Q573" s="547">
        <v>1.3680000000000001</v>
      </c>
      <c r="R573" s="553" t="s">
        <v>17</v>
      </c>
      <c r="S573" s="1034">
        <v>10970.15</v>
      </c>
      <c r="T573" s="12"/>
      <c r="U573" s="536"/>
      <c r="V573" s="536"/>
      <c r="W573" s="547"/>
      <c r="X573" s="536"/>
      <c r="Y573" s="537"/>
      <c r="Z573" s="536"/>
      <c r="AA573" s="536"/>
      <c r="AB573" s="536"/>
      <c r="AC573" s="47"/>
      <c r="AD573" s="50"/>
      <c r="AE573" s="537"/>
      <c r="AF573" s="12"/>
      <c r="AG573" s="536"/>
      <c r="AH573" s="536"/>
      <c r="AI573" s="547"/>
      <c r="AJ573" s="536"/>
      <c r="AK573" s="538"/>
      <c r="AL573" s="12"/>
      <c r="AM573" s="536"/>
      <c r="AN573" s="536"/>
      <c r="AO573" s="547"/>
      <c r="AP573" s="536"/>
      <c r="AQ573" s="538"/>
      <c r="AR573" s="530"/>
    </row>
    <row r="574" spans="1:44" ht="18.75">
      <c r="A574" s="1008"/>
      <c r="B574" s="1008"/>
      <c r="C574" s="1025"/>
      <c r="D574" s="1024"/>
      <c r="E574" s="1017"/>
      <c r="F574" s="1018"/>
      <c r="G574" s="1017"/>
      <c r="H574" s="536"/>
      <c r="I574" s="536"/>
      <c r="J574" s="536"/>
      <c r="K574" s="47"/>
      <c r="L574" s="50"/>
      <c r="M574" s="537"/>
      <c r="N574" s="903"/>
      <c r="O574" s="903"/>
      <c r="P574" s="1020"/>
      <c r="Q574" s="539">
        <f>Q573*G573/F573</f>
        <v>8617</v>
      </c>
      <c r="R574" s="43" t="s">
        <v>32</v>
      </c>
      <c r="S574" s="1035"/>
      <c r="T574" s="12"/>
      <c r="U574" s="536"/>
      <c r="V574" s="536"/>
      <c r="W574" s="547"/>
      <c r="X574" s="536"/>
      <c r="Y574" s="537"/>
      <c r="Z574" s="536"/>
      <c r="AA574" s="536"/>
      <c r="AB574" s="536"/>
      <c r="AC574" s="47"/>
      <c r="AD574" s="50"/>
      <c r="AE574" s="537"/>
      <c r="AF574" s="12"/>
      <c r="AG574" s="536"/>
      <c r="AH574" s="536"/>
      <c r="AI574" s="547"/>
      <c r="AJ574" s="536"/>
      <c r="AK574" s="538"/>
      <c r="AL574" s="12"/>
      <c r="AM574" s="536"/>
      <c r="AN574" s="536"/>
      <c r="AO574" s="547"/>
      <c r="AP574" s="536"/>
      <c r="AQ574" s="538"/>
      <c r="AR574" s="530"/>
    </row>
    <row r="575" spans="1:44" ht="56.25">
      <c r="A575" s="536">
        <v>301</v>
      </c>
      <c r="B575" s="536">
        <v>745213</v>
      </c>
      <c r="C575" s="546" t="s">
        <v>428</v>
      </c>
      <c r="D575" s="547">
        <v>0.53300000000000003</v>
      </c>
      <c r="E575" s="537">
        <v>2930</v>
      </c>
      <c r="F575" s="548">
        <v>0.53300000000000003</v>
      </c>
      <c r="G575" s="537">
        <v>2930</v>
      </c>
      <c r="H575" s="536"/>
      <c r="I575" s="536"/>
      <c r="J575" s="536"/>
      <c r="K575" s="47"/>
      <c r="L575" s="50"/>
      <c r="M575" s="537"/>
      <c r="N575" s="318"/>
      <c r="O575" s="549"/>
      <c r="P575" s="536"/>
      <c r="Q575" s="547"/>
      <c r="R575" s="553"/>
      <c r="S575" s="725"/>
      <c r="T575" s="12"/>
      <c r="U575" s="536"/>
      <c r="V575" s="536"/>
      <c r="W575" s="547"/>
      <c r="X575" s="536"/>
      <c r="Y575" s="537"/>
      <c r="Z575" s="536"/>
      <c r="AA575" s="536"/>
      <c r="AB575" s="536" t="s">
        <v>93</v>
      </c>
      <c r="AC575" s="547">
        <v>1</v>
      </c>
      <c r="AD575" s="536" t="s">
        <v>118</v>
      </c>
      <c r="AE575" s="537">
        <v>50</v>
      </c>
      <c r="AF575" s="12"/>
      <c r="AG575" s="536"/>
      <c r="AH575" s="536"/>
      <c r="AI575" s="547"/>
      <c r="AJ575" s="536"/>
      <c r="AK575" s="538"/>
      <c r="AL575" s="12"/>
      <c r="AM575" s="536"/>
      <c r="AN575" s="536"/>
      <c r="AO575" s="547"/>
      <c r="AP575" s="536"/>
      <c r="AQ575" s="538"/>
      <c r="AR575" s="530"/>
    </row>
    <row r="576" spans="1:44" ht="56.25">
      <c r="A576" s="536">
        <v>302</v>
      </c>
      <c r="B576" s="536">
        <v>736053</v>
      </c>
      <c r="C576" s="546" t="s">
        <v>429</v>
      </c>
      <c r="D576" s="547">
        <v>0.28000000000000003</v>
      </c>
      <c r="E576" s="537">
        <v>1680</v>
      </c>
      <c r="F576" s="548">
        <v>0.28000000000000003</v>
      </c>
      <c r="G576" s="537">
        <v>1680</v>
      </c>
      <c r="H576" s="536"/>
      <c r="I576" s="536"/>
      <c r="J576" s="536"/>
      <c r="K576" s="47"/>
      <c r="L576" s="50"/>
      <c r="M576" s="537"/>
      <c r="N576" s="318"/>
      <c r="O576" s="549"/>
      <c r="P576" s="536"/>
      <c r="Q576" s="547"/>
      <c r="R576" s="553"/>
      <c r="S576" s="725"/>
      <c r="T576" s="12"/>
      <c r="U576" s="536"/>
      <c r="V576" s="536"/>
      <c r="W576" s="547"/>
      <c r="X576" s="536"/>
      <c r="Y576" s="537"/>
      <c r="Z576" s="536"/>
      <c r="AA576" s="536"/>
      <c r="AB576" s="536" t="s">
        <v>93</v>
      </c>
      <c r="AC576" s="547">
        <v>1</v>
      </c>
      <c r="AD576" s="536" t="s">
        <v>118</v>
      </c>
      <c r="AE576" s="537">
        <v>50</v>
      </c>
      <c r="AF576" s="12"/>
      <c r="AG576" s="536"/>
      <c r="AH576" s="536"/>
      <c r="AI576" s="547"/>
      <c r="AJ576" s="536"/>
      <c r="AK576" s="538"/>
      <c r="AL576" s="12"/>
      <c r="AM576" s="536"/>
      <c r="AN576" s="536"/>
      <c r="AO576" s="547"/>
      <c r="AP576" s="536"/>
      <c r="AQ576" s="538"/>
      <c r="AR576" s="530"/>
    </row>
    <row r="577" spans="1:44" ht="56.25">
      <c r="A577" s="536">
        <v>303</v>
      </c>
      <c r="B577" s="536">
        <v>736838</v>
      </c>
      <c r="C577" s="546" t="s">
        <v>430</v>
      </c>
      <c r="D577" s="547">
        <v>0.58199999999999996</v>
      </c>
      <c r="E577" s="537">
        <v>2560</v>
      </c>
      <c r="F577" s="548">
        <v>0.58199999999999996</v>
      </c>
      <c r="G577" s="537">
        <v>2560</v>
      </c>
      <c r="H577" s="536"/>
      <c r="I577" s="536"/>
      <c r="J577" s="536"/>
      <c r="K577" s="47"/>
      <c r="L577" s="50"/>
      <c r="M577" s="537"/>
      <c r="N577" s="318"/>
      <c r="O577" s="549"/>
      <c r="P577" s="536"/>
      <c r="Q577" s="547"/>
      <c r="R577" s="553"/>
      <c r="S577" s="725"/>
      <c r="T577" s="12"/>
      <c r="U577" s="536"/>
      <c r="V577" s="536"/>
      <c r="W577" s="547"/>
      <c r="X577" s="536"/>
      <c r="Y577" s="537"/>
      <c r="Z577" s="536"/>
      <c r="AA577" s="536"/>
      <c r="AB577" s="536"/>
      <c r="AC577" s="47"/>
      <c r="AD577" s="50"/>
      <c r="AE577" s="537"/>
      <c r="AF577" s="12"/>
      <c r="AG577" s="536"/>
      <c r="AH577" s="536" t="s">
        <v>93</v>
      </c>
      <c r="AI577" s="547">
        <v>1</v>
      </c>
      <c r="AJ577" s="536" t="s">
        <v>118</v>
      </c>
      <c r="AK577" s="537">
        <v>50</v>
      </c>
      <c r="AL577" s="12"/>
      <c r="AM577" s="536"/>
      <c r="AN577" s="536"/>
      <c r="AO577" s="547"/>
      <c r="AP577" s="536"/>
      <c r="AQ577" s="538"/>
      <c r="AR577" s="530"/>
    </row>
    <row r="578" spans="1:44" ht="56.25">
      <c r="A578" s="536">
        <v>304</v>
      </c>
      <c r="B578" s="536">
        <v>739971</v>
      </c>
      <c r="C578" s="546" t="s">
        <v>431</v>
      </c>
      <c r="D578" s="547">
        <v>0.6</v>
      </c>
      <c r="E578" s="537">
        <v>3480</v>
      </c>
      <c r="F578" s="548">
        <v>0.6</v>
      </c>
      <c r="G578" s="537">
        <v>3480</v>
      </c>
      <c r="H578" s="536"/>
      <c r="I578" s="536"/>
      <c r="J578" s="536"/>
      <c r="K578" s="47"/>
      <c r="L578" s="50"/>
      <c r="M578" s="537"/>
      <c r="N578" s="318"/>
      <c r="O578" s="549"/>
      <c r="P578" s="536"/>
      <c r="Q578" s="547"/>
      <c r="R578" s="553"/>
      <c r="S578" s="725"/>
      <c r="T578" s="12"/>
      <c r="U578" s="536"/>
      <c r="V578" s="536"/>
      <c r="W578" s="547"/>
      <c r="X578" s="536"/>
      <c r="Y578" s="537"/>
      <c r="Z578" s="536"/>
      <c r="AA578" s="536"/>
      <c r="AB578" s="536"/>
      <c r="AC578" s="47"/>
      <c r="AD578" s="50"/>
      <c r="AE578" s="537"/>
      <c r="AF578" s="12"/>
      <c r="AG578" s="536"/>
      <c r="AH578" s="536" t="s">
        <v>93</v>
      </c>
      <c r="AI578" s="547">
        <v>1</v>
      </c>
      <c r="AJ578" s="536" t="s">
        <v>118</v>
      </c>
      <c r="AK578" s="537">
        <v>50</v>
      </c>
      <c r="AL578" s="12"/>
      <c r="AM578" s="536"/>
      <c r="AN578" s="536"/>
      <c r="AO578" s="547"/>
      <c r="AP578" s="536"/>
      <c r="AQ578" s="538"/>
      <c r="AR578" s="530"/>
    </row>
    <row r="579" spans="1:44" ht="56.25">
      <c r="A579" s="536">
        <v>305</v>
      </c>
      <c r="B579" s="536">
        <v>743084</v>
      </c>
      <c r="C579" s="546" t="s">
        <v>432</v>
      </c>
      <c r="D579" s="547">
        <v>0.2</v>
      </c>
      <c r="E579" s="537">
        <v>1690</v>
      </c>
      <c r="F579" s="548">
        <v>0.2</v>
      </c>
      <c r="G579" s="537">
        <v>1690</v>
      </c>
      <c r="H579" s="536"/>
      <c r="I579" s="536"/>
      <c r="J579" s="536"/>
      <c r="K579" s="47"/>
      <c r="L579" s="50"/>
      <c r="M579" s="537"/>
      <c r="N579" s="318"/>
      <c r="O579" s="549"/>
      <c r="P579" s="536"/>
      <c r="Q579" s="547"/>
      <c r="R579" s="553"/>
      <c r="S579" s="725"/>
      <c r="T579" s="12"/>
      <c r="U579" s="536"/>
      <c r="V579" s="536"/>
      <c r="W579" s="547"/>
      <c r="X579" s="536"/>
      <c r="Y579" s="537"/>
      <c r="Z579" s="536"/>
      <c r="AA579" s="536"/>
      <c r="AB579" s="536"/>
      <c r="AC579" s="47"/>
      <c r="AD579" s="50"/>
      <c r="AE579" s="537"/>
      <c r="AF579" s="12"/>
      <c r="AG579" s="536"/>
      <c r="AH579" s="536"/>
      <c r="AI579" s="547"/>
      <c r="AJ579" s="536"/>
      <c r="AK579" s="538"/>
      <c r="AL579" s="12"/>
      <c r="AM579" s="536"/>
      <c r="AN579" s="536" t="s">
        <v>93</v>
      </c>
      <c r="AO579" s="547">
        <v>1</v>
      </c>
      <c r="AP579" s="536" t="s">
        <v>118</v>
      </c>
      <c r="AQ579" s="537">
        <v>50</v>
      </c>
      <c r="AR579" s="530"/>
    </row>
    <row r="580" spans="1:44" ht="56.25">
      <c r="A580" s="536">
        <v>306</v>
      </c>
      <c r="B580" s="536">
        <v>738922</v>
      </c>
      <c r="C580" s="546" t="s">
        <v>433</v>
      </c>
      <c r="D580" s="547">
        <v>0.6</v>
      </c>
      <c r="E580" s="537">
        <v>3540</v>
      </c>
      <c r="F580" s="548">
        <v>0.6</v>
      </c>
      <c r="G580" s="537">
        <v>3540</v>
      </c>
      <c r="H580" s="536"/>
      <c r="I580" s="536"/>
      <c r="J580" s="536"/>
      <c r="K580" s="47"/>
      <c r="L580" s="50"/>
      <c r="M580" s="537"/>
      <c r="N580" s="318"/>
      <c r="O580" s="549"/>
      <c r="P580" s="536"/>
      <c r="Q580" s="547"/>
      <c r="R580" s="553"/>
      <c r="S580" s="725"/>
      <c r="T580" s="12"/>
      <c r="U580" s="536"/>
      <c r="V580" s="536"/>
      <c r="W580" s="547"/>
      <c r="X580" s="536"/>
      <c r="Y580" s="537"/>
      <c r="Z580" s="536"/>
      <c r="AA580" s="536"/>
      <c r="AB580" s="536"/>
      <c r="AC580" s="47"/>
      <c r="AD580" s="50"/>
      <c r="AE580" s="537"/>
      <c r="AF580" s="12"/>
      <c r="AG580" s="536"/>
      <c r="AH580" s="536"/>
      <c r="AI580" s="547"/>
      <c r="AJ580" s="536"/>
      <c r="AK580" s="538"/>
      <c r="AL580" s="12"/>
      <c r="AM580" s="536"/>
      <c r="AN580" s="536" t="s">
        <v>93</v>
      </c>
      <c r="AO580" s="547">
        <v>1</v>
      </c>
      <c r="AP580" s="536" t="s">
        <v>118</v>
      </c>
      <c r="AQ580" s="537">
        <v>50</v>
      </c>
      <c r="AR580" s="530"/>
    </row>
    <row r="581" spans="1:44" ht="56.25">
      <c r="A581" s="536">
        <v>307</v>
      </c>
      <c r="B581" s="536">
        <v>736888</v>
      </c>
      <c r="C581" s="546" t="s">
        <v>434</v>
      </c>
      <c r="D581" s="547">
        <v>0.63100000000000001</v>
      </c>
      <c r="E581" s="537">
        <v>4162</v>
      </c>
      <c r="F581" s="548">
        <v>0.63100000000000001</v>
      </c>
      <c r="G581" s="537">
        <v>4162</v>
      </c>
      <c r="H581" s="536"/>
      <c r="I581" s="536"/>
      <c r="J581" s="536"/>
      <c r="K581" s="47"/>
      <c r="L581" s="50"/>
      <c r="M581" s="537"/>
      <c r="N581" s="318"/>
      <c r="O581" s="549"/>
      <c r="P581" s="536"/>
      <c r="Q581" s="547"/>
      <c r="R581" s="553"/>
      <c r="S581" s="725"/>
      <c r="T581" s="12"/>
      <c r="U581" s="536"/>
      <c r="V581" s="536"/>
      <c r="W581" s="547"/>
      <c r="X581" s="536"/>
      <c r="Y581" s="537"/>
      <c r="Z581" s="536"/>
      <c r="AA581" s="536"/>
      <c r="AB581" s="536"/>
      <c r="AC581" s="47"/>
      <c r="AD581" s="50"/>
      <c r="AE581" s="537"/>
      <c r="AF581" s="12"/>
      <c r="AG581" s="536"/>
      <c r="AH581" s="536" t="s">
        <v>93</v>
      </c>
      <c r="AI581" s="547">
        <v>1</v>
      </c>
      <c r="AJ581" s="536" t="s">
        <v>118</v>
      </c>
      <c r="AK581" s="537">
        <v>50</v>
      </c>
      <c r="AL581" s="12"/>
      <c r="AM581" s="536"/>
      <c r="AN581" s="536"/>
      <c r="AO581" s="547"/>
      <c r="AP581" s="536"/>
      <c r="AQ581" s="538"/>
      <c r="AR581" s="530"/>
    </row>
    <row r="582" spans="1:44" ht="56.25">
      <c r="A582" s="536">
        <v>308</v>
      </c>
      <c r="B582" s="536">
        <v>745291</v>
      </c>
      <c r="C582" s="546" t="s">
        <v>435</v>
      </c>
      <c r="D582" s="547">
        <v>1.7649999999999999</v>
      </c>
      <c r="E582" s="537">
        <v>14300</v>
      </c>
      <c r="F582" s="548">
        <v>1.7649999999999999</v>
      </c>
      <c r="G582" s="537">
        <v>14300</v>
      </c>
      <c r="H582" s="536"/>
      <c r="I582" s="536"/>
      <c r="J582" s="536"/>
      <c r="K582" s="47"/>
      <c r="L582" s="50"/>
      <c r="M582" s="537"/>
      <c r="N582" s="318"/>
      <c r="O582" s="549"/>
      <c r="P582" s="536"/>
      <c r="Q582" s="547"/>
      <c r="R582" s="553"/>
      <c r="S582" s="725"/>
      <c r="T582" s="12"/>
      <c r="U582" s="536"/>
      <c r="V582" s="536"/>
      <c r="W582" s="547"/>
      <c r="X582" s="536"/>
      <c r="Y582" s="537"/>
      <c r="Z582" s="536"/>
      <c r="AA582" s="536"/>
      <c r="AB582" s="536"/>
      <c r="AC582" s="47"/>
      <c r="AD582" s="50"/>
      <c r="AE582" s="537"/>
      <c r="AF582" s="12"/>
      <c r="AG582" s="536"/>
      <c r="AH582" s="536"/>
      <c r="AI582" s="547"/>
      <c r="AJ582" s="536"/>
      <c r="AK582" s="538"/>
      <c r="AL582" s="12"/>
      <c r="AM582" s="536"/>
      <c r="AN582" s="536" t="s">
        <v>93</v>
      </c>
      <c r="AO582" s="547">
        <v>1</v>
      </c>
      <c r="AP582" s="536" t="s">
        <v>118</v>
      </c>
      <c r="AQ582" s="537">
        <v>50</v>
      </c>
      <c r="AR582" s="530"/>
    </row>
    <row r="583" spans="1:44" ht="56.25">
      <c r="A583" s="536">
        <v>309</v>
      </c>
      <c r="B583" s="536">
        <v>737871</v>
      </c>
      <c r="C583" s="546" t="s">
        <v>436</v>
      </c>
      <c r="D583" s="547">
        <v>1.2310000000000001</v>
      </c>
      <c r="E583" s="537">
        <v>9299</v>
      </c>
      <c r="F583" s="548">
        <v>1.2310000000000001</v>
      </c>
      <c r="G583" s="537">
        <v>9299</v>
      </c>
      <c r="H583" s="536"/>
      <c r="I583" s="536"/>
      <c r="J583" s="536"/>
      <c r="K583" s="47"/>
      <c r="L583" s="50"/>
      <c r="M583" s="537"/>
      <c r="N583" s="318"/>
      <c r="O583" s="549"/>
      <c r="P583" s="536"/>
      <c r="Q583" s="547"/>
      <c r="R583" s="553"/>
      <c r="S583" s="725"/>
      <c r="T583" s="12"/>
      <c r="U583" s="536"/>
      <c r="V583" s="536"/>
      <c r="W583" s="547"/>
      <c r="X583" s="536"/>
      <c r="Y583" s="537"/>
      <c r="Z583" s="536"/>
      <c r="AA583" s="536"/>
      <c r="AB583" s="536" t="s">
        <v>93</v>
      </c>
      <c r="AC583" s="547">
        <v>1</v>
      </c>
      <c r="AD583" s="536" t="s">
        <v>118</v>
      </c>
      <c r="AE583" s="537">
        <v>50</v>
      </c>
      <c r="AF583" s="12"/>
      <c r="AG583" s="536"/>
      <c r="AH583" s="536"/>
      <c r="AI583" s="547"/>
      <c r="AJ583" s="536"/>
      <c r="AK583" s="538"/>
      <c r="AL583" s="12"/>
      <c r="AM583" s="536"/>
      <c r="AN583" s="536"/>
      <c r="AO583" s="547"/>
      <c r="AP583" s="536"/>
      <c r="AQ583" s="538"/>
      <c r="AR583" s="530"/>
    </row>
    <row r="584" spans="1:44" ht="56.25">
      <c r="A584" s="536">
        <v>310</v>
      </c>
      <c r="B584" s="536">
        <v>740133</v>
      </c>
      <c r="C584" s="546" t="s">
        <v>437</v>
      </c>
      <c r="D584" s="547">
        <v>1.242</v>
      </c>
      <c r="E584" s="537">
        <v>8322</v>
      </c>
      <c r="F584" s="548">
        <v>1.242</v>
      </c>
      <c r="G584" s="537">
        <v>8322</v>
      </c>
      <c r="H584" s="536"/>
      <c r="I584" s="536"/>
      <c r="J584" s="536"/>
      <c r="K584" s="47"/>
      <c r="L584" s="50"/>
      <c r="M584" s="537"/>
      <c r="N584" s="318"/>
      <c r="O584" s="549"/>
      <c r="P584" s="536"/>
      <c r="Q584" s="547"/>
      <c r="R584" s="553"/>
      <c r="S584" s="725"/>
      <c r="T584" s="12"/>
      <c r="U584" s="536"/>
      <c r="V584" s="536"/>
      <c r="W584" s="547"/>
      <c r="X584" s="536"/>
      <c r="Y584" s="537"/>
      <c r="Z584" s="536"/>
      <c r="AA584" s="536"/>
      <c r="AB584" s="536" t="s">
        <v>93</v>
      </c>
      <c r="AC584" s="547">
        <v>1</v>
      </c>
      <c r="AD584" s="536" t="s">
        <v>118</v>
      </c>
      <c r="AE584" s="537">
        <v>50</v>
      </c>
      <c r="AF584" s="12"/>
      <c r="AG584" s="536"/>
      <c r="AH584" s="536"/>
      <c r="AI584" s="547"/>
      <c r="AJ584" s="536"/>
      <c r="AK584" s="538"/>
      <c r="AL584" s="12"/>
      <c r="AM584" s="536"/>
      <c r="AN584" s="536"/>
      <c r="AO584" s="547"/>
      <c r="AP584" s="536"/>
      <c r="AQ584" s="538"/>
      <c r="AR584" s="530"/>
    </row>
    <row r="585" spans="1:44" ht="56.25" customHeight="1">
      <c r="A585" s="536">
        <v>311</v>
      </c>
      <c r="B585" s="536">
        <v>745038</v>
      </c>
      <c r="C585" s="546" t="s">
        <v>438</v>
      </c>
      <c r="D585" s="547">
        <v>0.25</v>
      </c>
      <c r="E585" s="537">
        <v>1500</v>
      </c>
      <c r="F585" s="548">
        <v>0.25</v>
      </c>
      <c r="G585" s="537">
        <v>1500</v>
      </c>
      <c r="H585" s="536"/>
      <c r="I585" s="536"/>
      <c r="J585" s="536"/>
      <c r="K585" s="47"/>
      <c r="L585" s="50"/>
      <c r="M585" s="537"/>
      <c r="N585" s="318"/>
      <c r="O585" s="549"/>
      <c r="P585" s="536"/>
      <c r="Q585" s="547"/>
      <c r="R585" s="553"/>
      <c r="S585" s="725"/>
      <c r="T585" s="12"/>
      <c r="U585" s="536"/>
      <c r="V585" s="536"/>
      <c r="W585" s="547"/>
      <c r="X585" s="536"/>
      <c r="Y585" s="537"/>
      <c r="Z585" s="536"/>
      <c r="AA585" s="536"/>
      <c r="AB585" s="536" t="s">
        <v>93</v>
      </c>
      <c r="AC585" s="547">
        <v>1</v>
      </c>
      <c r="AD585" s="536" t="s">
        <v>118</v>
      </c>
      <c r="AE585" s="537">
        <v>50</v>
      </c>
      <c r="AF585" s="12"/>
      <c r="AG585" s="536"/>
      <c r="AH585" s="536"/>
      <c r="AI585" s="547"/>
      <c r="AJ585" s="536"/>
      <c r="AK585" s="538"/>
      <c r="AL585" s="12"/>
      <c r="AM585" s="536"/>
      <c r="AN585" s="536"/>
      <c r="AO585" s="547"/>
      <c r="AP585" s="536"/>
      <c r="AQ585" s="538"/>
      <c r="AR585" s="530"/>
    </row>
    <row r="586" spans="1:44" ht="56.25">
      <c r="A586" s="536">
        <v>312</v>
      </c>
      <c r="B586" s="536">
        <v>745038</v>
      </c>
      <c r="C586" s="546" t="s">
        <v>439</v>
      </c>
      <c r="D586" s="547">
        <v>0.14299999999999999</v>
      </c>
      <c r="E586" s="537">
        <v>1000</v>
      </c>
      <c r="F586" s="548">
        <v>0.14299999999999999</v>
      </c>
      <c r="G586" s="537">
        <v>1000</v>
      </c>
      <c r="H586" s="536"/>
      <c r="I586" s="536"/>
      <c r="J586" s="536"/>
      <c r="K586" s="47"/>
      <c r="L586" s="50"/>
      <c r="M586" s="537"/>
      <c r="N586" s="318"/>
      <c r="O586" s="549"/>
      <c r="P586" s="536"/>
      <c r="Q586" s="547"/>
      <c r="R586" s="553"/>
      <c r="S586" s="725"/>
      <c r="T586" s="12"/>
      <c r="U586" s="536"/>
      <c r="V586" s="536"/>
      <c r="W586" s="547"/>
      <c r="X586" s="536"/>
      <c r="Y586" s="537"/>
      <c r="Z586" s="536"/>
      <c r="AA586" s="536"/>
      <c r="AB586" s="536"/>
      <c r="AC586" s="47"/>
      <c r="AD586" s="50"/>
      <c r="AE586" s="537"/>
      <c r="AF586" s="12"/>
      <c r="AG586" s="536"/>
      <c r="AH586" s="536" t="s">
        <v>93</v>
      </c>
      <c r="AI586" s="547">
        <v>1</v>
      </c>
      <c r="AJ586" s="536" t="s">
        <v>118</v>
      </c>
      <c r="AK586" s="537">
        <v>50</v>
      </c>
      <c r="AL586" s="12"/>
      <c r="AM586" s="536"/>
      <c r="AN586" s="536"/>
      <c r="AO586" s="547"/>
      <c r="AP586" s="536"/>
      <c r="AQ586" s="538"/>
      <c r="AR586" s="530"/>
    </row>
    <row r="587" spans="1:44" ht="56.25">
      <c r="A587" s="536">
        <v>313</v>
      </c>
      <c r="B587" s="536">
        <v>742340</v>
      </c>
      <c r="C587" s="546" t="s">
        <v>440</v>
      </c>
      <c r="D587" s="547">
        <v>0.65700000000000003</v>
      </c>
      <c r="E587" s="537">
        <v>9200</v>
      </c>
      <c r="F587" s="548">
        <v>0.65700000000000003</v>
      </c>
      <c r="G587" s="537">
        <v>9200</v>
      </c>
      <c r="H587" s="536"/>
      <c r="I587" s="536"/>
      <c r="J587" s="536"/>
      <c r="K587" s="47"/>
      <c r="L587" s="50"/>
      <c r="M587" s="537"/>
      <c r="N587" s="318"/>
      <c r="O587" s="549"/>
      <c r="P587" s="536"/>
      <c r="Q587" s="547"/>
      <c r="R587" s="553"/>
      <c r="S587" s="725"/>
      <c r="T587" s="12"/>
      <c r="U587" s="536"/>
      <c r="V587" s="536"/>
      <c r="W587" s="547"/>
      <c r="X587" s="536"/>
      <c r="Y587" s="537"/>
      <c r="Z587" s="536"/>
      <c r="AA587" s="536"/>
      <c r="AB587" s="536"/>
      <c r="AC587" s="47"/>
      <c r="AD587" s="50"/>
      <c r="AE587" s="537"/>
      <c r="AF587" s="12"/>
      <c r="AG587" s="536"/>
      <c r="AH587" s="536"/>
      <c r="AI587" s="547"/>
      <c r="AJ587" s="536"/>
      <c r="AK587" s="538"/>
      <c r="AL587" s="12"/>
      <c r="AM587" s="536"/>
      <c r="AN587" s="536" t="s">
        <v>93</v>
      </c>
      <c r="AO587" s="547">
        <v>1</v>
      </c>
      <c r="AP587" s="536" t="s">
        <v>118</v>
      </c>
      <c r="AQ587" s="537">
        <v>50</v>
      </c>
      <c r="AR587" s="530"/>
    </row>
    <row r="588" spans="1:44" ht="56.25">
      <c r="A588" s="536">
        <v>314</v>
      </c>
      <c r="B588" s="536">
        <v>749939</v>
      </c>
      <c r="C588" s="546" t="s">
        <v>441</v>
      </c>
      <c r="D588" s="547">
        <v>2.71</v>
      </c>
      <c r="E588" s="537">
        <v>17886</v>
      </c>
      <c r="F588" s="548">
        <v>2.71</v>
      </c>
      <c r="G588" s="537">
        <v>17886</v>
      </c>
      <c r="H588" s="536"/>
      <c r="I588" s="536"/>
      <c r="J588" s="536"/>
      <c r="K588" s="47"/>
      <c r="L588" s="50"/>
      <c r="M588" s="537"/>
      <c r="N588" s="318"/>
      <c r="O588" s="549"/>
      <c r="P588" s="536"/>
      <c r="Q588" s="547"/>
      <c r="R588" s="553"/>
      <c r="S588" s="725"/>
      <c r="T588" s="12"/>
      <c r="U588" s="536"/>
      <c r="V588" s="536"/>
      <c r="W588" s="547"/>
      <c r="X588" s="536"/>
      <c r="Y588" s="537"/>
      <c r="Z588" s="536"/>
      <c r="AA588" s="536"/>
      <c r="AB588" s="536"/>
      <c r="AC588" s="47"/>
      <c r="AD588" s="50"/>
      <c r="AE588" s="537"/>
      <c r="AF588" s="12"/>
      <c r="AG588" s="536"/>
      <c r="AH588" s="536"/>
      <c r="AI588" s="547"/>
      <c r="AJ588" s="536"/>
      <c r="AK588" s="538"/>
      <c r="AL588" s="12"/>
      <c r="AM588" s="536"/>
      <c r="AN588" s="536" t="s">
        <v>93</v>
      </c>
      <c r="AO588" s="547">
        <v>1</v>
      </c>
      <c r="AP588" s="536" t="s">
        <v>118</v>
      </c>
      <c r="AQ588" s="537">
        <v>50</v>
      </c>
      <c r="AR588" s="530"/>
    </row>
    <row r="589" spans="1:44" ht="18.75">
      <c r="A589" s="1008">
        <v>315</v>
      </c>
      <c r="B589" s="1008">
        <v>741157</v>
      </c>
      <c r="C589" s="1025" t="s">
        <v>442</v>
      </c>
      <c r="D589" s="1024">
        <v>0.48</v>
      </c>
      <c r="E589" s="1017">
        <v>3840</v>
      </c>
      <c r="F589" s="1018">
        <v>0.48</v>
      </c>
      <c r="G589" s="1017">
        <v>3840</v>
      </c>
      <c r="H589" s="536"/>
      <c r="I589" s="536"/>
      <c r="J589" s="536"/>
      <c r="K589" s="47"/>
      <c r="L589" s="50"/>
      <c r="M589" s="537"/>
      <c r="N589" s="903" t="s">
        <v>60</v>
      </c>
      <c r="O589" s="903" t="s">
        <v>2930</v>
      </c>
      <c r="P589" s="1008" t="s">
        <v>117</v>
      </c>
      <c r="Q589" s="547">
        <v>0.48</v>
      </c>
      <c r="R589" s="553" t="s">
        <v>17</v>
      </c>
      <c r="S589" s="1034">
        <f>34900+100</f>
        <v>35000</v>
      </c>
      <c r="T589" s="12"/>
      <c r="U589" s="536"/>
      <c r="V589" s="536"/>
      <c r="W589" s="547"/>
      <c r="X589" s="536"/>
      <c r="Y589" s="537"/>
      <c r="Z589" s="536"/>
      <c r="AA589" s="536"/>
      <c r="AB589" s="536"/>
      <c r="AC589" s="47"/>
      <c r="AD589" s="50"/>
      <c r="AE589" s="537"/>
      <c r="AF589" s="12"/>
      <c r="AG589" s="536"/>
      <c r="AH589" s="536"/>
      <c r="AI589" s="547"/>
      <c r="AJ589" s="536"/>
      <c r="AK589" s="538"/>
      <c r="AL589" s="12"/>
      <c r="AM589" s="536"/>
      <c r="AN589" s="536"/>
      <c r="AO589" s="547"/>
      <c r="AP589" s="536"/>
      <c r="AQ589" s="538"/>
      <c r="AR589" s="530"/>
    </row>
    <row r="590" spans="1:44" ht="18.75">
      <c r="A590" s="1008"/>
      <c r="B590" s="1008"/>
      <c r="C590" s="1025"/>
      <c r="D590" s="1024"/>
      <c r="E590" s="1017"/>
      <c r="F590" s="1018"/>
      <c r="G590" s="1017"/>
      <c r="H590" s="536"/>
      <c r="I590" s="536"/>
      <c r="J590" s="536"/>
      <c r="K590" s="47"/>
      <c r="L590" s="50"/>
      <c r="M590" s="537"/>
      <c r="N590" s="903"/>
      <c r="O590" s="903"/>
      <c r="P590" s="1008"/>
      <c r="Q590" s="539">
        <f>Q589*G589/F589</f>
        <v>3839.9999999999995</v>
      </c>
      <c r="R590" s="43" t="s">
        <v>32</v>
      </c>
      <c r="S590" s="1035"/>
      <c r="T590" s="12"/>
      <c r="U590" s="536"/>
      <c r="V590" s="536"/>
      <c r="W590" s="547"/>
      <c r="X590" s="536"/>
      <c r="Y590" s="537"/>
      <c r="Z590" s="536"/>
      <c r="AA590" s="536"/>
      <c r="AB590" s="536"/>
      <c r="AC590" s="47"/>
      <c r="AD590" s="50"/>
      <c r="AE590" s="537"/>
      <c r="AF590" s="12"/>
      <c r="AG590" s="536"/>
      <c r="AH590" s="536"/>
      <c r="AI590" s="547"/>
      <c r="AJ590" s="536"/>
      <c r="AK590" s="538"/>
      <c r="AL590" s="12"/>
      <c r="AM590" s="536"/>
      <c r="AN590" s="536"/>
      <c r="AO590" s="547"/>
      <c r="AP590" s="536"/>
      <c r="AQ590" s="538"/>
      <c r="AR590" s="530"/>
    </row>
    <row r="591" spans="1:44" ht="44.25" customHeight="1">
      <c r="A591" s="536">
        <v>316</v>
      </c>
      <c r="B591" s="536">
        <v>739311</v>
      </c>
      <c r="C591" s="546" t="s">
        <v>443</v>
      </c>
      <c r="D591" s="547">
        <v>0.84</v>
      </c>
      <c r="E591" s="537">
        <v>6720</v>
      </c>
      <c r="F591" s="548">
        <v>0.84</v>
      </c>
      <c r="G591" s="537">
        <v>6720</v>
      </c>
      <c r="H591" s="536"/>
      <c r="I591" s="536"/>
      <c r="J591" s="536"/>
      <c r="K591" s="47"/>
      <c r="L591" s="50"/>
      <c r="M591" s="537"/>
      <c r="N591" s="318"/>
      <c r="O591" s="549"/>
      <c r="P591" s="536"/>
      <c r="Q591" s="547"/>
      <c r="R591" s="553"/>
      <c r="S591" s="725"/>
      <c r="T591" s="12"/>
      <c r="U591" s="536"/>
      <c r="V591" s="536"/>
      <c r="W591" s="547"/>
      <c r="X591" s="536"/>
      <c r="Y591" s="537"/>
      <c r="Z591" s="536"/>
      <c r="AA591" s="536"/>
      <c r="AB591" s="536"/>
      <c r="AC591" s="47"/>
      <c r="AD591" s="50"/>
      <c r="AE591" s="537"/>
      <c r="AF591" s="12"/>
      <c r="AG591" s="536"/>
      <c r="AH591" s="536" t="s">
        <v>93</v>
      </c>
      <c r="AI591" s="547">
        <v>1</v>
      </c>
      <c r="AJ591" s="536" t="s">
        <v>118</v>
      </c>
      <c r="AK591" s="537">
        <v>50</v>
      </c>
      <c r="AL591" s="12"/>
      <c r="AM591" s="536"/>
      <c r="AN591" s="536"/>
      <c r="AO591" s="547"/>
      <c r="AP591" s="536"/>
      <c r="AQ591" s="538"/>
      <c r="AR591" s="530"/>
    </row>
    <row r="592" spans="1:44" ht="56.25">
      <c r="A592" s="536">
        <v>317</v>
      </c>
      <c r="B592" s="536">
        <v>739368</v>
      </c>
      <c r="C592" s="546" t="s">
        <v>444</v>
      </c>
      <c r="D592" s="547">
        <v>0.54</v>
      </c>
      <c r="E592" s="537">
        <v>4320</v>
      </c>
      <c r="F592" s="548">
        <v>0.54</v>
      </c>
      <c r="G592" s="537">
        <v>4320</v>
      </c>
      <c r="H592" s="536"/>
      <c r="I592" s="536"/>
      <c r="J592" s="536"/>
      <c r="K592" s="47"/>
      <c r="L592" s="50"/>
      <c r="M592" s="537"/>
      <c r="N592" s="318"/>
      <c r="O592" s="549"/>
      <c r="P592" s="536"/>
      <c r="Q592" s="547"/>
      <c r="R592" s="553"/>
      <c r="S592" s="725"/>
      <c r="T592" s="12"/>
      <c r="U592" s="536"/>
      <c r="V592" s="536"/>
      <c r="W592" s="547"/>
      <c r="X592" s="536"/>
      <c r="Y592" s="537"/>
      <c r="Z592" s="536"/>
      <c r="AA592" s="536"/>
      <c r="AB592" s="536" t="s">
        <v>93</v>
      </c>
      <c r="AC592" s="547">
        <v>1</v>
      </c>
      <c r="AD592" s="536" t="s">
        <v>118</v>
      </c>
      <c r="AE592" s="537">
        <v>50</v>
      </c>
      <c r="AF592" s="12"/>
      <c r="AG592" s="536"/>
      <c r="AH592" s="536"/>
      <c r="AI592" s="547"/>
      <c r="AJ592" s="536"/>
      <c r="AK592" s="538"/>
      <c r="AL592" s="12"/>
      <c r="AM592" s="536"/>
      <c r="AN592" s="536"/>
      <c r="AO592" s="547"/>
      <c r="AP592" s="536"/>
      <c r="AQ592" s="538"/>
      <c r="AR592" s="530"/>
    </row>
    <row r="593" spans="1:44" ht="56.25">
      <c r="A593" s="536">
        <v>318</v>
      </c>
      <c r="B593" s="536">
        <v>734755</v>
      </c>
      <c r="C593" s="546" t="s">
        <v>445</v>
      </c>
      <c r="D593" s="547">
        <v>0.19</v>
      </c>
      <c r="E593" s="537">
        <v>1140</v>
      </c>
      <c r="F593" s="548">
        <v>0.19</v>
      </c>
      <c r="G593" s="537">
        <v>1140</v>
      </c>
      <c r="H593" s="536"/>
      <c r="I593" s="536"/>
      <c r="J593" s="536"/>
      <c r="K593" s="47"/>
      <c r="L593" s="50"/>
      <c r="M593" s="537"/>
      <c r="N593" s="318"/>
      <c r="O593" s="549"/>
      <c r="P593" s="536"/>
      <c r="Q593" s="547"/>
      <c r="R593" s="553"/>
      <c r="S593" s="725"/>
      <c r="T593" s="12"/>
      <c r="U593" s="536"/>
      <c r="V593" s="536"/>
      <c r="W593" s="547"/>
      <c r="X593" s="536"/>
      <c r="Y593" s="537"/>
      <c r="Z593" s="536"/>
      <c r="AA593" s="536"/>
      <c r="AB593" s="536" t="s">
        <v>93</v>
      </c>
      <c r="AC593" s="547">
        <v>1</v>
      </c>
      <c r="AD593" s="536" t="s">
        <v>118</v>
      </c>
      <c r="AE593" s="537">
        <v>50</v>
      </c>
      <c r="AF593" s="12"/>
      <c r="AG593" s="536"/>
      <c r="AH593" s="536"/>
      <c r="AI593" s="547"/>
      <c r="AJ593" s="536"/>
      <c r="AK593" s="538"/>
      <c r="AL593" s="12"/>
      <c r="AM593" s="536"/>
      <c r="AN593" s="536"/>
      <c r="AO593" s="547"/>
      <c r="AP593" s="536"/>
      <c r="AQ593" s="538"/>
      <c r="AR593" s="530"/>
    </row>
    <row r="594" spans="1:44" ht="56.25">
      <c r="A594" s="1008">
        <v>319</v>
      </c>
      <c r="B594" s="1008">
        <v>742666</v>
      </c>
      <c r="C594" s="1025" t="s">
        <v>446</v>
      </c>
      <c r="D594" s="1024">
        <v>0.29499999999999998</v>
      </c>
      <c r="E594" s="1017">
        <v>1970</v>
      </c>
      <c r="F594" s="1018">
        <v>0.29499999999999998</v>
      </c>
      <c r="G594" s="1017">
        <v>1970</v>
      </c>
      <c r="H594" s="536"/>
      <c r="I594" s="536"/>
      <c r="J594" s="536"/>
      <c r="K594" s="47"/>
      <c r="L594" s="50"/>
      <c r="M594" s="537"/>
      <c r="N594" s="318"/>
      <c r="O594" s="549"/>
      <c r="P594" s="1008"/>
      <c r="Q594" s="547"/>
      <c r="R594" s="553"/>
      <c r="S594" s="1034"/>
      <c r="T594" s="12"/>
      <c r="U594" s="536"/>
      <c r="V594" s="536"/>
      <c r="W594" s="547"/>
      <c r="X594" s="536"/>
      <c r="Y594" s="537"/>
      <c r="Z594" s="536"/>
      <c r="AA594" s="536"/>
      <c r="AB594" s="536" t="s">
        <v>93</v>
      </c>
      <c r="AC594" s="547">
        <v>1</v>
      </c>
      <c r="AD594" s="536" t="s">
        <v>118</v>
      </c>
      <c r="AE594" s="537">
        <v>50</v>
      </c>
      <c r="AF594" s="12"/>
      <c r="AG594" s="536"/>
      <c r="AH594" s="536"/>
      <c r="AI594" s="547"/>
      <c r="AJ594" s="536"/>
      <c r="AK594" s="538"/>
      <c r="AL594" s="12"/>
      <c r="AM594" s="536"/>
      <c r="AN594" s="536"/>
      <c r="AO594" s="547"/>
      <c r="AP594" s="536"/>
      <c r="AQ594" s="538"/>
      <c r="AR594" s="530"/>
    </row>
    <row r="595" spans="1:44" ht="18.75">
      <c r="A595" s="1008"/>
      <c r="B595" s="1008"/>
      <c r="C595" s="1025"/>
      <c r="D595" s="1024"/>
      <c r="E595" s="1017"/>
      <c r="F595" s="1018"/>
      <c r="G595" s="1017"/>
      <c r="H595" s="536"/>
      <c r="I595" s="536"/>
      <c r="J595" s="536"/>
      <c r="K595" s="47"/>
      <c r="L595" s="50"/>
      <c r="M595" s="537"/>
      <c r="N595" s="318"/>
      <c r="O595" s="549"/>
      <c r="P595" s="1008"/>
      <c r="Q595" s="539"/>
      <c r="R595" s="43"/>
      <c r="S595" s="1035"/>
      <c r="T595" s="12"/>
      <c r="U595" s="536"/>
      <c r="V595" s="536"/>
      <c r="W595" s="547"/>
      <c r="X595" s="536"/>
      <c r="Y595" s="537"/>
      <c r="Z595" s="536"/>
      <c r="AA595" s="536"/>
      <c r="AB595" s="536"/>
      <c r="AC595" s="47"/>
      <c r="AD595" s="50"/>
      <c r="AE595" s="537"/>
      <c r="AF595" s="12"/>
      <c r="AG595" s="536"/>
      <c r="AH595" s="536"/>
      <c r="AI595" s="547"/>
      <c r="AJ595" s="536"/>
      <c r="AK595" s="538"/>
      <c r="AL595" s="12"/>
      <c r="AM595" s="536"/>
      <c r="AN595" s="536"/>
      <c r="AO595" s="547"/>
      <c r="AP595" s="536"/>
      <c r="AQ595" s="538"/>
      <c r="AR595" s="530"/>
    </row>
    <row r="596" spans="1:44" ht="56.25">
      <c r="A596" s="1008">
        <v>320</v>
      </c>
      <c r="B596" s="1008">
        <v>734755</v>
      </c>
      <c r="C596" s="1025" t="s">
        <v>447</v>
      </c>
      <c r="D596" s="1024">
        <v>0.16</v>
      </c>
      <c r="E596" s="1017">
        <v>960</v>
      </c>
      <c r="F596" s="1018">
        <v>0.16</v>
      </c>
      <c r="G596" s="1017">
        <v>960</v>
      </c>
      <c r="H596" s="536"/>
      <c r="I596" s="536"/>
      <c r="J596" s="536"/>
      <c r="K596" s="47"/>
      <c r="L596" s="50"/>
      <c r="M596" s="537"/>
      <c r="N596" s="318"/>
      <c r="O596" s="549"/>
      <c r="P596" s="1008"/>
      <c r="Q596" s="547"/>
      <c r="R596" s="553"/>
      <c r="S596" s="1034"/>
      <c r="T596" s="12"/>
      <c r="U596" s="536"/>
      <c r="V596" s="536"/>
      <c r="W596" s="547"/>
      <c r="X596" s="536"/>
      <c r="Y596" s="537"/>
      <c r="Z596" s="536"/>
      <c r="AA596" s="536"/>
      <c r="AB596" s="536"/>
      <c r="AC596" s="47"/>
      <c r="AD596" s="50"/>
      <c r="AE596" s="537"/>
      <c r="AF596" s="12"/>
      <c r="AG596" s="536"/>
      <c r="AH596" s="536" t="s">
        <v>93</v>
      </c>
      <c r="AI596" s="547">
        <v>1</v>
      </c>
      <c r="AJ596" s="536" t="s">
        <v>118</v>
      </c>
      <c r="AK596" s="537">
        <v>50</v>
      </c>
      <c r="AL596" s="12"/>
      <c r="AM596" s="536"/>
      <c r="AN596" s="536"/>
      <c r="AO596" s="547"/>
      <c r="AP596" s="536"/>
      <c r="AQ596" s="538"/>
      <c r="AR596" s="530"/>
    </row>
    <row r="597" spans="1:44" ht="18.75">
      <c r="A597" s="1008"/>
      <c r="B597" s="1008"/>
      <c r="C597" s="1025"/>
      <c r="D597" s="1024"/>
      <c r="E597" s="1017"/>
      <c r="F597" s="1018"/>
      <c r="G597" s="1017"/>
      <c r="H597" s="536"/>
      <c r="I597" s="536"/>
      <c r="J597" s="536"/>
      <c r="K597" s="47"/>
      <c r="L597" s="50"/>
      <c r="M597" s="537"/>
      <c r="N597" s="318"/>
      <c r="O597" s="549"/>
      <c r="P597" s="1008"/>
      <c r="Q597" s="539"/>
      <c r="R597" s="43"/>
      <c r="S597" s="1035"/>
      <c r="T597" s="12"/>
      <c r="U597" s="536"/>
      <c r="V597" s="536"/>
      <c r="W597" s="547"/>
      <c r="X597" s="536"/>
      <c r="Y597" s="537"/>
      <c r="Z597" s="536"/>
      <c r="AA597" s="536"/>
      <c r="AB597" s="536"/>
      <c r="AC597" s="47"/>
      <c r="AD597" s="50"/>
      <c r="AE597" s="537"/>
      <c r="AF597" s="12"/>
      <c r="AG597" s="536"/>
      <c r="AH597" s="536"/>
      <c r="AI597" s="547"/>
      <c r="AJ597" s="536"/>
      <c r="AK597" s="538"/>
      <c r="AL597" s="12"/>
      <c r="AM597" s="536"/>
      <c r="AN597" s="536"/>
      <c r="AO597" s="547"/>
      <c r="AP597" s="536"/>
      <c r="AQ597" s="538"/>
      <c r="AR597" s="530"/>
    </row>
    <row r="598" spans="1:44" ht="56.25">
      <c r="A598" s="1008">
        <v>321</v>
      </c>
      <c r="B598" s="1008">
        <v>738879</v>
      </c>
      <c r="C598" s="1025" t="s">
        <v>448</v>
      </c>
      <c r="D598" s="1024">
        <v>0.46</v>
      </c>
      <c r="E598" s="1017">
        <v>3644</v>
      </c>
      <c r="F598" s="1018">
        <v>0.46</v>
      </c>
      <c r="G598" s="1017">
        <v>3644</v>
      </c>
      <c r="H598" s="539"/>
      <c r="I598" s="559"/>
      <c r="J598" s="536"/>
      <c r="K598" s="42"/>
      <c r="L598" s="50"/>
      <c r="M598" s="537"/>
      <c r="N598" s="49"/>
      <c r="O598" s="316"/>
      <c r="P598" s="1008"/>
      <c r="Q598" s="558"/>
      <c r="R598" s="553"/>
      <c r="S598" s="1034"/>
      <c r="T598" s="12"/>
      <c r="U598" s="536"/>
      <c r="V598" s="536"/>
      <c r="W598" s="547"/>
      <c r="X598" s="536"/>
      <c r="Y598" s="537"/>
      <c r="Z598" s="536"/>
      <c r="AA598" s="536"/>
      <c r="AB598" s="536"/>
      <c r="AC598" s="47"/>
      <c r="AD598" s="50"/>
      <c r="AE598" s="537"/>
      <c r="AF598" s="12"/>
      <c r="AG598" s="536"/>
      <c r="AH598" s="536" t="s">
        <v>93</v>
      </c>
      <c r="AI598" s="547">
        <v>1</v>
      </c>
      <c r="AJ598" s="536" t="s">
        <v>118</v>
      </c>
      <c r="AK598" s="537">
        <v>50</v>
      </c>
      <c r="AL598" s="12"/>
      <c r="AM598" s="536"/>
      <c r="AN598" s="536"/>
      <c r="AO598" s="547"/>
      <c r="AP598" s="536"/>
      <c r="AQ598" s="538"/>
      <c r="AR598" s="530"/>
    </row>
    <row r="599" spans="1:44" ht="18.75">
      <c r="A599" s="1008"/>
      <c r="B599" s="1008"/>
      <c r="C599" s="1025"/>
      <c r="D599" s="1024"/>
      <c r="E599" s="1017"/>
      <c r="F599" s="1018"/>
      <c r="G599" s="1017"/>
      <c r="H599" s="539"/>
      <c r="I599" s="559"/>
      <c r="J599" s="536"/>
      <c r="K599" s="42"/>
      <c r="L599" s="50"/>
      <c r="M599" s="537"/>
      <c r="N599" s="49"/>
      <c r="O599" s="316"/>
      <c r="P599" s="1008"/>
      <c r="Q599" s="51"/>
      <c r="R599" s="43"/>
      <c r="S599" s="1035"/>
      <c r="T599" s="12"/>
      <c r="U599" s="536"/>
      <c r="V599" s="536"/>
      <c r="W599" s="547"/>
      <c r="X599" s="536"/>
      <c r="Y599" s="537"/>
      <c r="Z599" s="536"/>
      <c r="AA599" s="536"/>
      <c r="AB599" s="536"/>
      <c r="AC599" s="47"/>
      <c r="AD599" s="50"/>
      <c r="AE599" s="537"/>
      <c r="AF599" s="12"/>
      <c r="AG599" s="536"/>
      <c r="AH599" s="536"/>
      <c r="AI599" s="547"/>
      <c r="AJ599" s="536"/>
      <c r="AK599" s="538"/>
      <c r="AL599" s="12"/>
      <c r="AM599" s="536"/>
      <c r="AN599" s="536"/>
      <c r="AO599" s="547"/>
      <c r="AP599" s="536"/>
      <c r="AQ599" s="538"/>
      <c r="AR599" s="530"/>
    </row>
    <row r="600" spans="1:44" ht="18.75">
      <c r="A600" s="1008"/>
      <c r="B600" s="1008"/>
      <c r="C600" s="1025"/>
      <c r="D600" s="1024"/>
      <c r="E600" s="1017"/>
      <c r="F600" s="1018"/>
      <c r="G600" s="1017"/>
      <c r="H600" s="536"/>
      <c r="I600" s="536"/>
      <c r="J600" s="536"/>
      <c r="K600" s="47"/>
      <c r="L600" s="50"/>
      <c r="M600" s="537"/>
      <c r="N600" s="318"/>
      <c r="O600" s="549"/>
      <c r="P600" s="549"/>
      <c r="Q600" s="547"/>
      <c r="R600" s="553"/>
      <c r="S600" s="727"/>
      <c r="T600" s="12"/>
      <c r="U600" s="536"/>
      <c r="V600" s="536"/>
      <c r="W600" s="547"/>
      <c r="X600" s="536"/>
      <c r="Y600" s="537"/>
      <c r="Z600" s="536"/>
      <c r="AA600" s="536"/>
      <c r="AB600" s="536"/>
      <c r="AC600" s="47"/>
      <c r="AD600" s="50"/>
      <c r="AE600" s="537"/>
      <c r="AF600" s="12"/>
      <c r="AG600" s="536"/>
      <c r="AH600" s="536"/>
      <c r="AI600" s="547"/>
      <c r="AJ600" s="536"/>
      <c r="AK600" s="538"/>
      <c r="AL600" s="12"/>
      <c r="AM600" s="536"/>
      <c r="AN600" s="536"/>
      <c r="AO600" s="547"/>
      <c r="AP600" s="536"/>
      <c r="AQ600" s="538"/>
      <c r="AR600" s="530"/>
    </row>
    <row r="601" spans="1:44" ht="37.5">
      <c r="A601" s="536"/>
      <c r="B601" s="545"/>
      <c r="C601" s="546" t="s">
        <v>119</v>
      </c>
      <c r="D601" s="547"/>
      <c r="E601" s="537"/>
      <c r="F601" s="548"/>
      <c r="G601" s="537"/>
      <c r="H601" s="539"/>
      <c r="I601" s="559"/>
      <c r="J601" s="536" t="s">
        <v>2682</v>
      </c>
      <c r="K601" s="42"/>
      <c r="L601" s="50"/>
      <c r="M601" s="537">
        <v>1350.14678</v>
      </c>
      <c r="N601" s="538"/>
      <c r="O601" s="536"/>
      <c r="P601" s="536" t="s">
        <v>2682</v>
      </c>
      <c r="Q601" s="539"/>
      <c r="R601" s="43"/>
      <c r="S601" s="655"/>
      <c r="T601" s="12"/>
      <c r="U601" s="536"/>
      <c r="V601" s="536" t="s">
        <v>2682</v>
      </c>
      <c r="W601" s="547"/>
      <c r="X601" s="536"/>
      <c r="Y601" s="537">
        <v>800</v>
      </c>
      <c r="Z601" s="12"/>
      <c r="AA601" s="536"/>
      <c r="AB601" s="536" t="s">
        <v>2682</v>
      </c>
      <c r="AC601" s="547"/>
      <c r="AD601" s="536"/>
      <c r="AE601" s="537">
        <v>1000</v>
      </c>
      <c r="AF601" s="12"/>
      <c r="AG601" s="536"/>
      <c r="AH601" s="536" t="s">
        <v>2682</v>
      </c>
      <c r="AI601" s="547"/>
      <c r="AJ601" s="536"/>
      <c r="AK601" s="538">
        <v>1000</v>
      </c>
      <c r="AL601" s="312"/>
      <c r="AM601" s="312"/>
      <c r="AN601" s="536" t="s">
        <v>2682</v>
      </c>
      <c r="AO601" s="556"/>
      <c r="AP601" s="555"/>
      <c r="AQ601" s="594">
        <v>1000</v>
      </c>
      <c r="AR601" s="530"/>
    </row>
    <row r="602" spans="1:44" ht="37.5">
      <c r="A602" s="536"/>
      <c r="B602" s="545"/>
      <c r="C602" s="546" t="s">
        <v>450</v>
      </c>
      <c r="D602" s="547"/>
      <c r="E602" s="537"/>
      <c r="F602" s="548"/>
      <c r="G602" s="537"/>
      <c r="H602" s="539"/>
      <c r="I602" s="559"/>
      <c r="J602" s="536" t="s">
        <v>2682</v>
      </c>
      <c r="K602" s="42"/>
      <c r="L602" s="50"/>
      <c r="M602" s="537">
        <v>100</v>
      </c>
      <c r="N602" s="538"/>
      <c r="O602" s="536"/>
      <c r="P602" s="536" t="s">
        <v>2682</v>
      </c>
      <c r="Q602" s="539"/>
      <c r="R602" s="43"/>
      <c r="S602" s="725"/>
      <c r="T602" s="12"/>
      <c r="U602" s="536"/>
      <c r="V602" s="536" t="s">
        <v>2682</v>
      </c>
      <c r="W602" s="547"/>
      <c r="X602" s="536"/>
      <c r="Y602" s="537">
        <v>100</v>
      </c>
      <c r="Z602" s="12"/>
      <c r="AA602" s="536"/>
      <c r="AB602" s="536" t="s">
        <v>2682</v>
      </c>
      <c r="AC602" s="547"/>
      <c r="AD602" s="536"/>
      <c r="AE602" s="537">
        <v>100</v>
      </c>
      <c r="AF602" s="12"/>
      <c r="AG602" s="536"/>
      <c r="AH602" s="536" t="s">
        <v>2682</v>
      </c>
      <c r="AI602" s="547"/>
      <c r="AJ602" s="536"/>
      <c r="AK602" s="538">
        <v>100</v>
      </c>
      <c r="AL602" s="312"/>
      <c r="AM602" s="312"/>
      <c r="AN602" s="536" t="s">
        <v>2682</v>
      </c>
      <c r="AO602" s="556"/>
      <c r="AP602" s="555"/>
      <c r="AQ602" s="538">
        <v>100</v>
      </c>
      <c r="AR602" s="530"/>
    </row>
    <row r="603" spans="1:44" ht="39.75" customHeight="1">
      <c r="A603" s="1066"/>
      <c r="B603" s="1067"/>
      <c r="C603" s="1068" t="s">
        <v>111</v>
      </c>
      <c r="D603" s="1069"/>
      <c r="E603" s="1069"/>
      <c r="F603" s="1060"/>
      <c r="G603" s="543"/>
      <c r="H603" s="543"/>
      <c r="I603" s="545"/>
      <c r="J603" s="1061" t="s">
        <v>112</v>
      </c>
      <c r="K603" s="67"/>
      <c r="L603" s="518" t="s">
        <v>17</v>
      </c>
      <c r="M603" s="1062">
        <f>K603*181.25</f>
        <v>0</v>
      </c>
      <c r="N603" s="543"/>
      <c r="O603" s="543"/>
      <c r="P603" s="1061" t="s">
        <v>112</v>
      </c>
      <c r="Q603" s="67"/>
      <c r="R603" s="518" t="s">
        <v>17</v>
      </c>
      <c r="S603" s="1063">
        <f>Q603*181.25</f>
        <v>0</v>
      </c>
      <c r="T603" s="538"/>
      <c r="U603" s="538"/>
      <c r="V603" s="1061" t="s">
        <v>112</v>
      </c>
      <c r="W603" s="67">
        <v>0</v>
      </c>
      <c r="X603" s="518" t="s">
        <v>17</v>
      </c>
      <c r="Y603" s="1062">
        <v>45600</v>
      </c>
      <c r="Z603" s="538"/>
      <c r="AA603" s="12"/>
      <c r="AB603" s="1061" t="s">
        <v>112</v>
      </c>
      <c r="AC603" s="67">
        <v>40</v>
      </c>
      <c r="AD603" s="518" t="s">
        <v>17</v>
      </c>
      <c r="AE603" s="1062">
        <v>12998.4</v>
      </c>
      <c r="AF603" s="538"/>
      <c r="AG603" s="538"/>
      <c r="AH603" s="1061" t="s">
        <v>112</v>
      </c>
      <c r="AI603" s="67">
        <v>0</v>
      </c>
      <c r="AJ603" s="518" t="s">
        <v>17</v>
      </c>
      <c r="AK603" s="1061">
        <v>984577.5</v>
      </c>
      <c r="AL603" s="538"/>
      <c r="AM603" s="538"/>
      <c r="AN603" s="1061" t="s">
        <v>112</v>
      </c>
      <c r="AO603" s="67">
        <f>AC605</f>
        <v>0</v>
      </c>
      <c r="AP603" s="518" t="s">
        <v>17</v>
      </c>
      <c r="AQ603" s="1061">
        <v>971052.2</v>
      </c>
      <c r="AR603" s="530"/>
    </row>
    <row r="604" spans="1:44" ht="39.75" customHeight="1">
      <c r="A604" s="1066"/>
      <c r="B604" s="1067"/>
      <c r="C604" s="1068"/>
      <c r="D604" s="1069"/>
      <c r="E604" s="1069"/>
      <c r="F604" s="1060"/>
      <c r="G604" s="543"/>
      <c r="H604" s="543"/>
      <c r="I604" s="12"/>
      <c r="J604" s="1061"/>
      <c r="K604" s="68">
        <f>K603*7500</f>
        <v>0</v>
      </c>
      <c r="L604" s="507" t="s">
        <v>32</v>
      </c>
      <c r="M604" s="1062"/>
      <c r="N604" s="543"/>
      <c r="O604" s="543"/>
      <c r="P604" s="1061"/>
      <c r="Q604" s="67">
        <f>Q603*7500</f>
        <v>0</v>
      </c>
      <c r="R604" s="507" t="s">
        <v>32</v>
      </c>
      <c r="S604" s="1064"/>
      <c r="T604" s="538"/>
      <c r="U604" s="538"/>
      <c r="V604" s="1061"/>
      <c r="W604" s="67">
        <v>0</v>
      </c>
      <c r="X604" s="507" t="s">
        <v>32</v>
      </c>
      <c r="Y604" s="1062"/>
      <c r="Z604" s="538"/>
      <c r="AA604" s="12"/>
      <c r="AB604" s="1061"/>
      <c r="AC604" s="67">
        <v>400427</v>
      </c>
      <c r="AD604" s="507" t="s">
        <v>32</v>
      </c>
      <c r="AE604" s="1062"/>
      <c r="AF604" s="538"/>
      <c r="AG604" s="538"/>
      <c r="AH604" s="1061"/>
      <c r="AI604" s="67">
        <v>0</v>
      </c>
      <c r="AJ604" s="507" t="s">
        <v>32</v>
      </c>
      <c r="AK604" s="1061"/>
      <c r="AL604" s="538"/>
      <c r="AM604" s="538"/>
      <c r="AN604" s="1061"/>
      <c r="AO604" s="67" t="e">
        <f>#REF!</f>
        <v>#REF!</v>
      </c>
      <c r="AP604" s="507" t="s">
        <v>32</v>
      </c>
      <c r="AQ604" s="1061"/>
      <c r="AR604" s="530"/>
    </row>
    <row r="605" spans="1:44" ht="82.5" customHeight="1">
      <c r="A605" s="1065" t="s">
        <v>451</v>
      </c>
      <c r="B605" s="1065"/>
      <c r="C605" s="1065"/>
      <c r="D605" s="656">
        <f>SUM(D8:D602)</f>
        <v>388.06810000000002</v>
      </c>
      <c r="E605" s="657">
        <f>SUM(E8:E602)</f>
        <v>4069559.1590909092</v>
      </c>
      <c r="F605" s="658">
        <f>SUM(F8:F602)</f>
        <v>388.05410000000001</v>
      </c>
      <c r="G605" s="657">
        <f>SUM(G8:G602)</f>
        <v>4069559.1590909092</v>
      </c>
      <c r="H605" s="565"/>
      <c r="I605" s="565"/>
      <c r="J605" s="565" t="s">
        <v>1312</v>
      </c>
      <c r="K605" s="566"/>
      <c r="L605" s="71"/>
      <c r="M605" s="72">
        <f>SUM(M8:M602)</f>
        <v>999999.99997999996</v>
      </c>
      <c r="N605" s="565"/>
      <c r="O605" s="565"/>
      <c r="P605" s="565"/>
      <c r="Q605" s="566"/>
      <c r="R605" s="71"/>
      <c r="S605" s="72">
        <f>SUM(S8:S604)</f>
        <v>999999.99999999988</v>
      </c>
      <c r="T605" s="565"/>
      <c r="U605" s="565"/>
      <c r="V605" s="565"/>
      <c r="W605" s="566"/>
      <c r="X605" s="71"/>
      <c r="Y605" s="72">
        <f>SUM(Y8:Y604)</f>
        <v>1000000</v>
      </c>
      <c r="Z605" s="565"/>
      <c r="AA605" s="565"/>
      <c r="AB605" s="565"/>
      <c r="AC605" s="566"/>
      <c r="AD605" s="71"/>
      <c r="AE605" s="72">
        <f>SUM(AE8:AE604)</f>
        <v>1002149.9999999999</v>
      </c>
      <c r="AF605" s="565"/>
      <c r="AG605" s="565"/>
      <c r="AH605" s="565"/>
      <c r="AI605" s="566"/>
      <c r="AJ605" s="71"/>
      <c r="AK605" s="659">
        <f>SUM(AK8:AK604)</f>
        <v>1002900</v>
      </c>
      <c r="AL605" s="565"/>
      <c r="AM605" s="565"/>
      <c r="AN605" s="565"/>
      <c r="AO605" s="566"/>
      <c r="AP605" s="71"/>
      <c r="AQ605" s="659">
        <f>SUM(AQ8:AQ604)</f>
        <v>1002150</v>
      </c>
      <c r="AR605" s="530"/>
    </row>
    <row r="606" spans="1:44" ht="18.75" customHeight="1">
      <c r="A606" s="1077" t="s">
        <v>2684</v>
      </c>
      <c r="B606" s="1077"/>
      <c r="C606" s="1077"/>
      <c r="D606" s="1077"/>
      <c r="E606" s="1077"/>
      <c r="F606" s="1077"/>
      <c r="G606" s="1077"/>
      <c r="H606" s="1077"/>
      <c r="I606" s="1077"/>
      <c r="J606" s="1071" t="s">
        <v>114</v>
      </c>
      <c r="K606" s="35">
        <v>79.751029016657711</v>
      </c>
      <c r="L606" s="38" t="s">
        <v>17</v>
      </c>
      <c r="M606" s="843">
        <v>997896.75561000011</v>
      </c>
      <c r="N606" s="660"/>
      <c r="O606" s="33"/>
      <c r="P606" s="1071" t="s">
        <v>114</v>
      </c>
      <c r="Q606" s="35">
        <v>21.953154171842474</v>
      </c>
      <c r="R606" s="38" t="s">
        <v>17</v>
      </c>
      <c r="S606" s="843">
        <v>310995.54100000014</v>
      </c>
      <c r="T606" s="660"/>
      <c r="U606" s="33"/>
      <c r="V606" s="1071" t="s">
        <v>114</v>
      </c>
      <c r="W606" s="35">
        <v>22.8</v>
      </c>
      <c r="X606" s="38" t="s">
        <v>17</v>
      </c>
      <c r="Y606" s="843">
        <v>176258</v>
      </c>
      <c r="Z606" s="660"/>
      <c r="AA606" s="33"/>
      <c r="AB606" s="1071" t="s">
        <v>114</v>
      </c>
      <c r="AC606" s="35">
        <v>8.8522144114982879</v>
      </c>
      <c r="AD606" s="38" t="s">
        <v>17</v>
      </c>
      <c r="AE606" s="843">
        <v>162509.20000000001</v>
      </c>
      <c r="AF606" s="660"/>
      <c r="AG606" s="33"/>
      <c r="AH606" s="1071" t="s">
        <v>114</v>
      </c>
      <c r="AI606" s="35">
        <v>0.3271420323325635</v>
      </c>
      <c r="AJ606" s="38" t="s">
        <v>17</v>
      </c>
      <c r="AK606" s="843">
        <v>3000.05</v>
      </c>
      <c r="AL606" s="660"/>
      <c r="AM606" s="33"/>
      <c r="AN606" s="1071" t="s">
        <v>114</v>
      </c>
      <c r="AO606" s="35">
        <v>0.27</v>
      </c>
      <c r="AP606" s="38" t="s">
        <v>17</v>
      </c>
      <c r="AQ606" s="843">
        <v>4769.55</v>
      </c>
      <c r="AR606" s="724"/>
    </row>
    <row r="607" spans="1:44" ht="18.75" customHeight="1">
      <c r="A607" s="1077"/>
      <c r="B607" s="1077"/>
      <c r="C607" s="1077"/>
      <c r="D607" s="1077"/>
      <c r="E607" s="1077"/>
      <c r="F607" s="1077"/>
      <c r="G607" s="1077"/>
      <c r="H607" s="1077"/>
      <c r="I607" s="1077"/>
      <c r="J607" s="1072"/>
      <c r="K607" s="73">
        <v>832887.7699999999</v>
      </c>
      <c r="L607" s="38" t="s">
        <v>32</v>
      </c>
      <c r="M607" s="844"/>
      <c r="N607" s="660"/>
      <c r="O607" s="33"/>
      <c r="P607" s="1072"/>
      <c r="Q607" s="73">
        <v>235627.25502359084</v>
      </c>
      <c r="R607" s="38" t="s">
        <v>32</v>
      </c>
      <c r="S607" s="844"/>
      <c r="T607" s="660"/>
      <c r="U607" s="33"/>
      <c r="V607" s="1072"/>
      <c r="W607" s="73">
        <v>214950</v>
      </c>
      <c r="X607" s="38" t="s">
        <v>32</v>
      </c>
      <c r="Y607" s="844"/>
      <c r="Z607" s="660"/>
      <c r="AA607" s="33"/>
      <c r="AB607" s="1072"/>
      <c r="AC607" s="73">
        <v>113241</v>
      </c>
      <c r="AD607" s="38" t="s">
        <v>32</v>
      </c>
      <c r="AE607" s="844"/>
      <c r="AF607" s="660"/>
      <c r="AG607" s="33"/>
      <c r="AH607" s="1072"/>
      <c r="AI607" s="73">
        <v>1833</v>
      </c>
      <c r="AJ607" s="38" t="s">
        <v>32</v>
      </c>
      <c r="AK607" s="844"/>
      <c r="AL607" s="660"/>
      <c r="AM607" s="33"/>
      <c r="AN607" s="1072"/>
      <c r="AO607" s="73">
        <v>3533</v>
      </c>
      <c r="AP607" s="38" t="s">
        <v>32</v>
      </c>
      <c r="AQ607" s="844"/>
      <c r="AR607" s="724"/>
    </row>
    <row r="608" spans="1:44" ht="18.75" customHeight="1">
      <c r="A608" s="1077"/>
      <c r="B608" s="1077"/>
      <c r="C608" s="1077"/>
      <c r="D608" s="1077"/>
      <c r="E608" s="1077"/>
      <c r="F608" s="1077"/>
      <c r="G608" s="1077"/>
      <c r="H608" s="1077"/>
      <c r="I608" s="1077"/>
      <c r="J608" s="1071" t="s">
        <v>115</v>
      </c>
      <c r="K608" s="35">
        <v>0</v>
      </c>
      <c r="L608" s="38" t="s">
        <v>17</v>
      </c>
      <c r="M608" s="843">
        <v>0</v>
      </c>
      <c r="N608" s="660"/>
      <c r="O608" s="33"/>
      <c r="P608" s="1071" t="s">
        <v>115</v>
      </c>
      <c r="Q608" s="35">
        <v>0</v>
      </c>
      <c r="R608" s="38" t="s">
        <v>17</v>
      </c>
      <c r="S608" s="843">
        <v>0</v>
      </c>
      <c r="T608" s="660"/>
      <c r="U608" s="33"/>
      <c r="V608" s="1071" t="s">
        <v>115</v>
      </c>
      <c r="W608" s="35">
        <v>0</v>
      </c>
      <c r="X608" s="38" t="s">
        <v>17</v>
      </c>
      <c r="Y608" s="843">
        <v>0</v>
      </c>
      <c r="Z608" s="660"/>
      <c r="AA608" s="33"/>
      <c r="AB608" s="1071" t="s">
        <v>115</v>
      </c>
      <c r="AC608" s="35">
        <v>0</v>
      </c>
      <c r="AD608" s="38" t="s">
        <v>17</v>
      </c>
      <c r="AE608" s="843">
        <v>0</v>
      </c>
      <c r="AF608" s="660"/>
      <c r="AG608" s="33"/>
      <c r="AH608" s="1071" t="s">
        <v>115</v>
      </c>
      <c r="AI608" s="35">
        <v>0.26</v>
      </c>
      <c r="AJ608" s="38" t="s">
        <v>17</v>
      </c>
      <c r="AK608" s="843">
        <v>11322.45</v>
      </c>
      <c r="AL608" s="660"/>
      <c r="AM608" s="33"/>
      <c r="AN608" s="1071" t="s">
        <v>115</v>
      </c>
      <c r="AO608" s="35">
        <v>1.2200000000000002</v>
      </c>
      <c r="AP608" s="38" t="s">
        <v>17</v>
      </c>
      <c r="AQ608" s="843">
        <v>23078.25</v>
      </c>
      <c r="AR608" s="724"/>
    </row>
    <row r="609" spans="1:44" ht="18.75" customHeight="1">
      <c r="A609" s="1077"/>
      <c r="B609" s="1077"/>
      <c r="C609" s="1077"/>
      <c r="D609" s="1077"/>
      <c r="E609" s="1077"/>
      <c r="F609" s="1077"/>
      <c r="G609" s="1077"/>
      <c r="H609" s="1077"/>
      <c r="I609" s="1077"/>
      <c r="J609" s="1072"/>
      <c r="K609" s="73">
        <v>0</v>
      </c>
      <c r="L609" s="38" t="s">
        <v>32</v>
      </c>
      <c r="M609" s="844"/>
      <c r="N609" s="660"/>
      <c r="O609" s="33"/>
      <c r="P609" s="1072"/>
      <c r="Q609" s="73">
        <v>0</v>
      </c>
      <c r="R609" s="38" t="s">
        <v>32</v>
      </c>
      <c r="S609" s="844"/>
      <c r="T609" s="660"/>
      <c r="U609" s="33"/>
      <c r="V609" s="1072"/>
      <c r="W609" s="73">
        <v>0</v>
      </c>
      <c r="X609" s="38" t="s">
        <v>32</v>
      </c>
      <c r="Y609" s="844"/>
      <c r="Z609" s="660"/>
      <c r="AA609" s="33"/>
      <c r="AB609" s="1072"/>
      <c r="AC609" s="73">
        <v>0</v>
      </c>
      <c r="AD609" s="38" t="s">
        <v>32</v>
      </c>
      <c r="AE609" s="844"/>
      <c r="AF609" s="660"/>
      <c r="AG609" s="33"/>
      <c r="AH609" s="1072"/>
      <c r="AI609" s="73">
        <v>8387</v>
      </c>
      <c r="AJ609" s="38" t="s">
        <v>32</v>
      </c>
      <c r="AK609" s="844"/>
      <c r="AL609" s="660"/>
      <c r="AM609" s="33"/>
      <c r="AN609" s="1072"/>
      <c r="AO609" s="73">
        <v>17095</v>
      </c>
      <c r="AP609" s="38" t="s">
        <v>32</v>
      </c>
      <c r="AQ609" s="844"/>
      <c r="AR609" s="724"/>
    </row>
    <row r="610" spans="1:44" ht="18.75" customHeight="1">
      <c r="A610" s="1077"/>
      <c r="B610" s="1077"/>
      <c r="C610" s="1077"/>
      <c r="D610" s="1077"/>
      <c r="E610" s="1077"/>
      <c r="F610" s="1077"/>
      <c r="G610" s="1077"/>
      <c r="H610" s="1077"/>
      <c r="I610" s="1077"/>
      <c r="J610" s="1071" t="s">
        <v>116</v>
      </c>
      <c r="K610" s="35">
        <v>0</v>
      </c>
      <c r="L610" s="38" t="s">
        <v>17</v>
      </c>
      <c r="M610" s="843">
        <v>0</v>
      </c>
      <c r="N610" s="660"/>
      <c r="O610" s="33"/>
      <c r="P610" s="1071" t="s">
        <v>116</v>
      </c>
      <c r="Q610" s="35">
        <v>5.6000000000000001E-2</v>
      </c>
      <c r="R610" s="38" t="s">
        <v>17</v>
      </c>
      <c r="S610" s="843">
        <v>586725.45900000003</v>
      </c>
      <c r="T610" s="660"/>
      <c r="U610" s="33"/>
      <c r="V610" s="1071" t="s">
        <v>116</v>
      </c>
      <c r="W610" s="35">
        <v>5.6000000000000001E-2</v>
      </c>
      <c r="X610" s="38" t="s">
        <v>17</v>
      </c>
      <c r="Y610" s="843">
        <v>170000</v>
      </c>
      <c r="Z610" s="660"/>
      <c r="AA610" s="33"/>
      <c r="AB610" s="1071" t="s">
        <v>116</v>
      </c>
      <c r="AC610" s="35">
        <v>0</v>
      </c>
      <c r="AD610" s="38" t="s">
        <v>17</v>
      </c>
      <c r="AE610" s="843">
        <v>0</v>
      </c>
      <c r="AF610" s="660"/>
      <c r="AG610" s="33"/>
      <c r="AH610" s="1071" t="s">
        <v>116</v>
      </c>
      <c r="AI610" s="35">
        <v>0</v>
      </c>
      <c r="AJ610" s="38" t="s">
        <v>17</v>
      </c>
      <c r="AK610" s="843">
        <v>0</v>
      </c>
      <c r="AL610" s="660"/>
      <c r="AM610" s="33"/>
      <c r="AN610" s="1071" t="s">
        <v>116</v>
      </c>
      <c r="AO610" s="35">
        <v>0</v>
      </c>
      <c r="AP610" s="38" t="s">
        <v>17</v>
      </c>
      <c r="AQ610" s="843">
        <v>0</v>
      </c>
      <c r="AR610" s="724"/>
    </row>
    <row r="611" spans="1:44" ht="18.75" customHeight="1">
      <c r="A611" s="1077"/>
      <c r="B611" s="1077"/>
      <c r="C611" s="1077"/>
      <c r="D611" s="1077"/>
      <c r="E611" s="1077"/>
      <c r="F611" s="1077"/>
      <c r="G611" s="1077"/>
      <c r="H611" s="1077"/>
      <c r="I611" s="1077"/>
      <c r="J611" s="1072"/>
      <c r="K611" s="35">
        <v>0</v>
      </c>
      <c r="L611" s="38" t="s">
        <v>32</v>
      </c>
      <c r="M611" s="844"/>
      <c r="N611" s="660"/>
      <c r="O611" s="33"/>
      <c r="P611" s="1072"/>
      <c r="Q611" s="35">
        <v>1022</v>
      </c>
      <c r="R611" s="38" t="s">
        <v>32</v>
      </c>
      <c r="S611" s="844"/>
      <c r="T611" s="660"/>
      <c r="U611" s="33"/>
      <c r="V611" s="1072"/>
      <c r="W611" s="35">
        <v>1022</v>
      </c>
      <c r="X611" s="38" t="s">
        <v>32</v>
      </c>
      <c r="Y611" s="844"/>
      <c r="Z611" s="660"/>
      <c r="AA611" s="33"/>
      <c r="AB611" s="1072"/>
      <c r="AC611" s="35">
        <v>0</v>
      </c>
      <c r="AD611" s="38" t="s">
        <v>32</v>
      </c>
      <c r="AE611" s="844"/>
      <c r="AF611" s="660"/>
      <c r="AG611" s="33"/>
      <c r="AH611" s="1072"/>
      <c r="AI611" s="35">
        <v>0</v>
      </c>
      <c r="AJ611" s="38" t="s">
        <v>32</v>
      </c>
      <c r="AK611" s="844"/>
      <c r="AL611" s="660"/>
      <c r="AM611" s="33"/>
      <c r="AN611" s="1072"/>
      <c r="AO611" s="35">
        <v>0</v>
      </c>
      <c r="AP611" s="38" t="s">
        <v>32</v>
      </c>
      <c r="AQ611" s="844"/>
      <c r="AR611" s="724"/>
    </row>
    <row r="612" spans="1:44" ht="18.75" customHeight="1">
      <c r="A612" s="1077"/>
      <c r="B612" s="1077"/>
      <c r="C612" s="1077"/>
      <c r="D612" s="1077"/>
      <c r="E612" s="1077"/>
      <c r="F612" s="1077"/>
      <c r="G612" s="1077"/>
      <c r="H612" s="1077"/>
      <c r="I612" s="1077"/>
      <c r="J612" s="1071" t="s">
        <v>117</v>
      </c>
      <c r="K612" s="35">
        <v>0</v>
      </c>
      <c r="L612" s="38" t="s">
        <v>17</v>
      </c>
      <c r="M612" s="843">
        <v>0</v>
      </c>
      <c r="N612" s="660"/>
      <c r="O612" s="33"/>
      <c r="P612" s="1071" t="s">
        <v>117</v>
      </c>
      <c r="Q612" s="35">
        <v>0.48</v>
      </c>
      <c r="R612" s="38" t="s">
        <v>17</v>
      </c>
      <c r="S612" s="843">
        <v>35000</v>
      </c>
      <c r="T612" s="660"/>
      <c r="U612" s="33"/>
      <c r="V612" s="1071" t="s">
        <v>117</v>
      </c>
      <c r="W612" s="35">
        <v>0</v>
      </c>
      <c r="X612" s="38" t="s">
        <v>17</v>
      </c>
      <c r="Y612" s="843">
        <v>607242</v>
      </c>
      <c r="Z612" s="660"/>
      <c r="AA612" s="33"/>
      <c r="AB612" s="1071" t="s">
        <v>117</v>
      </c>
      <c r="AC612" s="35">
        <v>1.3</v>
      </c>
      <c r="AD612" s="38" t="s">
        <v>17</v>
      </c>
      <c r="AE612" s="843">
        <v>823392.39999999991</v>
      </c>
      <c r="AF612" s="660"/>
      <c r="AG612" s="33"/>
      <c r="AH612" s="1071" t="s">
        <v>117</v>
      </c>
      <c r="AI612" s="35">
        <v>0</v>
      </c>
      <c r="AJ612" s="38" t="s">
        <v>17</v>
      </c>
      <c r="AK612" s="843">
        <v>0</v>
      </c>
      <c r="AL612" s="660"/>
      <c r="AM612" s="33"/>
      <c r="AN612" s="1071" t="s">
        <v>117</v>
      </c>
      <c r="AO612" s="35">
        <v>0</v>
      </c>
      <c r="AP612" s="38" t="s">
        <v>17</v>
      </c>
      <c r="AQ612" s="843">
        <v>0</v>
      </c>
      <c r="AR612" s="724"/>
    </row>
    <row r="613" spans="1:44" ht="18.75" customHeight="1">
      <c r="A613" s="1077"/>
      <c r="B613" s="1077"/>
      <c r="C613" s="1077"/>
      <c r="D613" s="1077"/>
      <c r="E613" s="1077"/>
      <c r="F613" s="1077"/>
      <c r="G613" s="1077"/>
      <c r="H613" s="1077"/>
      <c r="I613" s="1077"/>
      <c r="J613" s="1072"/>
      <c r="K613" s="35">
        <v>0</v>
      </c>
      <c r="L613" s="38" t="s">
        <v>32</v>
      </c>
      <c r="M613" s="844"/>
      <c r="N613" s="660"/>
      <c r="O613" s="33"/>
      <c r="P613" s="1072"/>
      <c r="Q613" s="35">
        <v>3839.9999999999995</v>
      </c>
      <c r="R613" s="38" t="s">
        <v>32</v>
      </c>
      <c r="S613" s="844"/>
      <c r="T613" s="660"/>
      <c r="U613" s="33"/>
      <c r="V613" s="1072"/>
      <c r="W613" s="35">
        <v>0</v>
      </c>
      <c r="X613" s="38" t="s">
        <v>32</v>
      </c>
      <c r="Y613" s="844"/>
      <c r="Z613" s="660"/>
      <c r="AA613" s="33"/>
      <c r="AB613" s="1072"/>
      <c r="AC613" s="35">
        <v>9800</v>
      </c>
      <c r="AD613" s="38" t="s">
        <v>32</v>
      </c>
      <c r="AE613" s="844"/>
      <c r="AF613" s="660"/>
      <c r="AG613" s="33"/>
      <c r="AH613" s="1072"/>
      <c r="AI613" s="35">
        <v>0</v>
      </c>
      <c r="AJ613" s="38" t="s">
        <v>32</v>
      </c>
      <c r="AK613" s="844"/>
      <c r="AL613" s="660"/>
      <c r="AM613" s="33"/>
      <c r="AN613" s="1072"/>
      <c r="AO613" s="35">
        <v>0</v>
      </c>
      <c r="AP613" s="38" t="s">
        <v>32</v>
      </c>
      <c r="AQ613" s="844"/>
      <c r="AR613" s="724"/>
    </row>
    <row r="614" spans="1:44" ht="57" customHeight="1">
      <c r="A614" s="1077"/>
      <c r="B614" s="1077"/>
      <c r="C614" s="1077"/>
      <c r="D614" s="1077"/>
      <c r="E614" s="1077"/>
      <c r="F614" s="1077"/>
      <c r="G614" s="1077"/>
      <c r="H614" s="1077"/>
      <c r="I614" s="1077"/>
      <c r="J614" s="728" t="s">
        <v>120</v>
      </c>
      <c r="K614" s="37">
        <v>0</v>
      </c>
      <c r="L614" s="38" t="s">
        <v>118</v>
      </c>
      <c r="M614" s="661">
        <v>0</v>
      </c>
      <c r="N614" s="660"/>
      <c r="O614" s="33"/>
      <c r="P614" s="728" t="s">
        <v>120</v>
      </c>
      <c r="Q614" s="37">
        <v>79</v>
      </c>
      <c r="R614" s="38" t="s">
        <v>118</v>
      </c>
      <c r="S614" s="661">
        <v>66180</v>
      </c>
      <c r="T614" s="660"/>
      <c r="U614" s="33"/>
      <c r="V614" s="728" t="s">
        <v>120</v>
      </c>
      <c r="W614" s="37">
        <v>0</v>
      </c>
      <c r="X614" s="38" t="s">
        <v>118</v>
      </c>
      <c r="Y614" s="661">
        <v>0</v>
      </c>
      <c r="Z614" s="660"/>
      <c r="AA614" s="33"/>
      <c r="AB614" s="728" t="s">
        <v>120</v>
      </c>
      <c r="AC614" s="37">
        <v>0</v>
      </c>
      <c r="AD614" s="38" t="s">
        <v>118</v>
      </c>
      <c r="AE614" s="661">
        <v>0</v>
      </c>
      <c r="AF614" s="660"/>
      <c r="AG614" s="33"/>
      <c r="AH614" s="728" t="s">
        <v>120</v>
      </c>
      <c r="AI614" s="37">
        <v>0</v>
      </c>
      <c r="AJ614" s="38" t="s">
        <v>118</v>
      </c>
      <c r="AK614" s="661">
        <v>0</v>
      </c>
      <c r="AL614" s="660"/>
      <c r="AM614" s="33"/>
      <c r="AN614" s="728" t="s">
        <v>120</v>
      </c>
      <c r="AO614" s="37">
        <v>0</v>
      </c>
      <c r="AP614" s="38" t="s">
        <v>118</v>
      </c>
      <c r="AQ614" s="661">
        <v>0</v>
      </c>
      <c r="AR614" s="724"/>
    </row>
    <row r="615" spans="1:44" ht="57" customHeight="1">
      <c r="A615" s="1077"/>
      <c r="B615" s="1077"/>
      <c r="C615" s="1077"/>
      <c r="D615" s="1077"/>
      <c r="E615" s="1077"/>
      <c r="F615" s="1077"/>
      <c r="G615" s="1077"/>
      <c r="H615" s="1077"/>
      <c r="I615" s="1077"/>
      <c r="J615" s="728" t="s">
        <v>462</v>
      </c>
      <c r="K615" s="37">
        <v>0</v>
      </c>
      <c r="L615" s="38"/>
      <c r="M615" s="661">
        <v>0</v>
      </c>
      <c r="N615" s="660"/>
      <c r="O615" s="33"/>
      <c r="P615" s="728" t="s">
        <v>462</v>
      </c>
      <c r="Q615" s="37">
        <v>5</v>
      </c>
      <c r="R615" s="38"/>
      <c r="S615" s="661">
        <v>550</v>
      </c>
      <c r="T615" s="660"/>
      <c r="U615" s="33"/>
      <c r="V615" s="728" t="s">
        <v>462</v>
      </c>
      <c r="W615" s="37">
        <v>0</v>
      </c>
      <c r="X615" s="38"/>
      <c r="Y615" s="661">
        <v>0</v>
      </c>
      <c r="Z615" s="660"/>
      <c r="AA615" s="33"/>
      <c r="AB615" s="728" t="s">
        <v>462</v>
      </c>
      <c r="AC615" s="37">
        <v>0</v>
      </c>
      <c r="AD615" s="38"/>
      <c r="AE615" s="661">
        <v>0</v>
      </c>
      <c r="AF615" s="660"/>
      <c r="AG615" s="33"/>
      <c r="AH615" s="728" t="s">
        <v>462</v>
      </c>
      <c r="AI615" s="37">
        <v>1</v>
      </c>
      <c r="AJ615" s="38"/>
      <c r="AK615" s="661">
        <v>50</v>
      </c>
      <c r="AL615" s="660"/>
      <c r="AM615" s="33"/>
      <c r="AN615" s="728" t="s">
        <v>462</v>
      </c>
      <c r="AO615" s="37">
        <v>0</v>
      </c>
      <c r="AP615" s="38"/>
      <c r="AQ615" s="661">
        <v>0</v>
      </c>
      <c r="AR615" s="724"/>
    </row>
    <row r="616" spans="1:44" ht="54.75" customHeight="1">
      <c r="A616" s="1077"/>
      <c r="B616" s="1077"/>
      <c r="C616" s="1077"/>
      <c r="D616" s="1077"/>
      <c r="E616" s="1077"/>
      <c r="F616" s="1077"/>
      <c r="G616" s="1077"/>
      <c r="H616" s="1077"/>
      <c r="I616" s="1077"/>
      <c r="J616" s="728" t="s">
        <v>93</v>
      </c>
      <c r="K616" s="37">
        <v>0</v>
      </c>
      <c r="L616" s="38" t="s">
        <v>118</v>
      </c>
      <c r="M616" s="661">
        <v>0</v>
      </c>
      <c r="N616" s="660"/>
      <c r="O616" s="33"/>
      <c r="P616" s="728" t="s">
        <v>93</v>
      </c>
      <c r="Q616" s="37">
        <v>17</v>
      </c>
      <c r="R616" s="38" t="s">
        <v>118</v>
      </c>
      <c r="S616" s="661">
        <v>549</v>
      </c>
      <c r="T616" s="660"/>
      <c r="U616" s="33"/>
      <c r="V616" s="728" t="s">
        <v>93</v>
      </c>
      <c r="W616" s="37">
        <v>0</v>
      </c>
      <c r="X616" s="38" t="s">
        <v>118</v>
      </c>
      <c r="Y616" s="661">
        <v>0</v>
      </c>
      <c r="Z616" s="660"/>
      <c r="AA616" s="33"/>
      <c r="AB616" s="728" t="s">
        <v>93</v>
      </c>
      <c r="AC616" s="37">
        <v>43</v>
      </c>
      <c r="AD616" s="38" t="s">
        <v>118</v>
      </c>
      <c r="AE616" s="661">
        <v>2150</v>
      </c>
      <c r="AF616" s="660"/>
      <c r="AG616" s="33"/>
      <c r="AH616" s="728" t="s">
        <v>93</v>
      </c>
      <c r="AI616" s="37">
        <v>57</v>
      </c>
      <c r="AJ616" s="38" t="s">
        <v>118</v>
      </c>
      <c r="AK616" s="661">
        <v>2850</v>
      </c>
      <c r="AL616" s="660"/>
      <c r="AM616" s="33"/>
      <c r="AN616" s="728" t="s">
        <v>93</v>
      </c>
      <c r="AO616" s="37">
        <v>43</v>
      </c>
      <c r="AP616" s="38" t="s">
        <v>118</v>
      </c>
      <c r="AQ616" s="661">
        <v>2150</v>
      </c>
      <c r="AR616" s="724"/>
    </row>
    <row r="617" spans="1:44" ht="53.25" customHeight="1">
      <c r="A617" s="1077"/>
      <c r="B617" s="1077"/>
      <c r="C617" s="1077"/>
      <c r="D617" s="1077"/>
      <c r="E617" s="1077"/>
      <c r="F617" s="1077"/>
      <c r="G617" s="1077"/>
      <c r="H617" s="1077"/>
      <c r="I617" s="1077"/>
      <c r="J617" s="728" t="s">
        <v>49</v>
      </c>
      <c r="K617" s="37">
        <v>352</v>
      </c>
      <c r="L617" s="38" t="s">
        <v>2681</v>
      </c>
      <c r="M617" s="661">
        <v>653.09759000000008</v>
      </c>
      <c r="N617" s="660"/>
      <c r="O617" s="33"/>
      <c r="P617" s="728" t="s">
        <v>49</v>
      </c>
      <c r="Q617" s="37">
        <v>0</v>
      </c>
      <c r="R617" s="38" t="s">
        <v>2681</v>
      </c>
      <c r="S617" s="661">
        <v>0</v>
      </c>
      <c r="T617" s="660"/>
      <c r="U617" s="33"/>
      <c r="V617" s="728" t="s">
        <v>49</v>
      </c>
      <c r="W617" s="37">
        <v>0</v>
      </c>
      <c r="X617" s="38" t="s">
        <v>2681</v>
      </c>
      <c r="Y617" s="661">
        <v>0</v>
      </c>
      <c r="Z617" s="660"/>
      <c r="AA617" s="33"/>
      <c r="AB617" s="728" t="s">
        <v>49</v>
      </c>
      <c r="AC617" s="37">
        <v>0</v>
      </c>
      <c r="AD617" s="38" t="s">
        <v>2681</v>
      </c>
      <c r="AE617" s="661">
        <v>0</v>
      </c>
      <c r="AF617" s="660"/>
      <c r="AG617" s="33"/>
      <c r="AH617" s="728" t="s">
        <v>49</v>
      </c>
      <c r="AI617" s="37">
        <v>0</v>
      </c>
      <c r="AJ617" s="38" t="s">
        <v>2681</v>
      </c>
      <c r="AK617" s="661">
        <v>0</v>
      </c>
      <c r="AL617" s="660"/>
      <c r="AM617" s="33"/>
      <c r="AN617" s="728" t="s">
        <v>49</v>
      </c>
      <c r="AO617" s="37">
        <v>0</v>
      </c>
      <c r="AP617" s="38" t="s">
        <v>2681</v>
      </c>
      <c r="AQ617" s="661">
        <v>0</v>
      </c>
      <c r="AR617" s="724"/>
    </row>
    <row r="618" spans="1:44" ht="49.5" customHeight="1">
      <c r="A618" s="1077"/>
      <c r="B618" s="1077"/>
      <c r="C618" s="1077"/>
      <c r="D618" s="1077"/>
      <c r="E618" s="1077"/>
      <c r="F618" s="1077"/>
      <c r="G618" s="1077"/>
      <c r="H618" s="1077"/>
      <c r="I618" s="1077"/>
      <c r="J618" s="728" t="s">
        <v>68</v>
      </c>
      <c r="K618" s="37">
        <v>0</v>
      </c>
      <c r="L618" s="38" t="s">
        <v>2681</v>
      </c>
      <c r="M618" s="661">
        <v>0</v>
      </c>
      <c r="N618" s="660"/>
      <c r="O618" s="33"/>
      <c r="P618" s="728" t="s">
        <v>68</v>
      </c>
      <c r="Q618" s="37">
        <v>0</v>
      </c>
      <c r="R618" s="38" t="s">
        <v>2681</v>
      </c>
      <c r="S618" s="661">
        <v>0</v>
      </c>
      <c r="T618" s="660"/>
      <c r="U618" s="33"/>
      <c r="V618" s="728" t="s">
        <v>68</v>
      </c>
      <c r="W618" s="37">
        <v>0</v>
      </c>
      <c r="X618" s="38" t="s">
        <v>2681</v>
      </c>
      <c r="Y618" s="661">
        <v>0</v>
      </c>
      <c r="Z618" s="660"/>
      <c r="AA618" s="33"/>
      <c r="AB618" s="728" t="s">
        <v>68</v>
      </c>
      <c r="AC618" s="37">
        <v>0</v>
      </c>
      <c r="AD618" s="38" t="s">
        <v>2681</v>
      </c>
      <c r="AE618" s="661">
        <v>0</v>
      </c>
      <c r="AF618" s="660"/>
      <c r="AG618" s="33"/>
      <c r="AH618" s="728" t="s">
        <v>68</v>
      </c>
      <c r="AI618" s="37">
        <v>0</v>
      </c>
      <c r="AJ618" s="38" t="s">
        <v>2681</v>
      </c>
      <c r="AK618" s="661">
        <v>0</v>
      </c>
      <c r="AL618" s="660"/>
      <c r="AM618" s="33"/>
      <c r="AN618" s="728" t="s">
        <v>68</v>
      </c>
      <c r="AO618" s="37">
        <v>0</v>
      </c>
      <c r="AP618" s="38" t="s">
        <v>2681</v>
      </c>
      <c r="AQ618" s="661">
        <v>0</v>
      </c>
      <c r="AR618" s="724"/>
    </row>
    <row r="619" spans="1:44" ht="62.25" customHeight="1">
      <c r="A619" s="1077"/>
      <c r="B619" s="1077"/>
      <c r="C619" s="1077"/>
      <c r="D619" s="1077"/>
      <c r="E619" s="1077"/>
      <c r="F619" s="1077"/>
      <c r="G619" s="1077"/>
      <c r="H619" s="1077"/>
      <c r="I619" s="1077"/>
      <c r="J619" s="728" t="s">
        <v>465</v>
      </c>
      <c r="K619" s="37">
        <v>0</v>
      </c>
      <c r="L619" s="38" t="s">
        <v>2681</v>
      </c>
      <c r="M619" s="661">
        <v>0</v>
      </c>
      <c r="N619" s="660"/>
      <c r="O619" s="33"/>
      <c r="P619" s="728" t="s">
        <v>465</v>
      </c>
      <c r="Q619" s="37">
        <v>0</v>
      </c>
      <c r="R619" s="38" t="s">
        <v>2681</v>
      </c>
      <c r="S619" s="661">
        <v>0</v>
      </c>
      <c r="T619" s="660"/>
      <c r="U619" s="33"/>
      <c r="V619" s="728" t="s">
        <v>465</v>
      </c>
      <c r="W619" s="37">
        <v>0</v>
      </c>
      <c r="X619" s="38" t="s">
        <v>2681</v>
      </c>
      <c r="Y619" s="661">
        <v>0</v>
      </c>
      <c r="Z619" s="660"/>
      <c r="AA619" s="33"/>
      <c r="AB619" s="728" t="s">
        <v>465</v>
      </c>
      <c r="AC619" s="37">
        <v>0</v>
      </c>
      <c r="AD619" s="38" t="s">
        <v>2681</v>
      </c>
      <c r="AE619" s="661">
        <v>0</v>
      </c>
      <c r="AF619" s="660"/>
      <c r="AG619" s="33"/>
      <c r="AH619" s="728" t="s">
        <v>465</v>
      </c>
      <c r="AI619" s="37">
        <v>0</v>
      </c>
      <c r="AJ619" s="38" t="s">
        <v>2681</v>
      </c>
      <c r="AK619" s="661">
        <v>0</v>
      </c>
      <c r="AL619" s="660"/>
      <c r="AM619" s="33"/>
      <c r="AN619" s="728" t="s">
        <v>465</v>
      </c>
      <c r="AO619" s="37">
        <v>0</v>
      </c>
      <c r="AP619" s="38" t="s">
        <v>2681</v>
      </c>
      <c r="AQ619" s="661">
        <v>0</v>
      </c>
      <c r="AR619" s="724"/>
    </row>
    <row r="620" spans="1:44" ht="46.5" customHeight="1">
      <c r="A620" s="1077"/>
      <c r="B620" s="1077"/>
      <c r="C620" s="1077"/>
      <c r="D620" s="1077"/>
      <c r="E620" s="1077"/>
      <c r="F620" s="1077"/>
      <c r="G620" s="1077"/>
      <c r="H620" s="1077"/>
      <c r="I620" s="1077"/>
      <c r="J620" s="728" t="s">
        <v>112</v>
      </c>
      <c r="K620" s="37">
        <v>0</v>
      </c>
      <c r="L620" s="38" t="s">
        <v>32</v>
      </c>
      <c r="M620" s="661">
        <v>0</v>
      </c>
      <c r="N620" s="660"/>
      <c r="O620" s="33"/>
      <c r="P620" s="728" t="s">
        <v>112</v>
      </c>
      <c r="Q620" s="37">
        <v>0</v>
      </c>
      <c r="R620" s="38" t="s">
        <v>32</v>
      </c>
      <c r="S620" s="661">
        <v>0</v>
      </c>
      <c r="T620" s="660"/>
      <c r="U620" s="33"/>
      <c r="V620" s="728" t="s">
        <v>112</v>
      </c>
      <c r="W620" s="37">
        <v>0</v>
      </c>
      <c r="X620" s="38" t="s">
        <v>32</v>
      </c>
      <c r="Y620" s="661">
        <v>45600</v>
      </c>
      <c r="Z620" s="660"/>
      <c r="AA620" s="33"/>
      <c r="AB620" s="728" t="s">
        <v>112</v>
      </c>
      <c r="AC620" s="37">
        <v>40</v>
      </c>
      <c r="AD620" s="38" t="s">
        <v>32</v>
      </c>
      <c r="AE620" s="661">
        <v>12998.4</v>
      </c>
      <c r="AF620" s="660"/>
      <c r="AG620" s="33"/>
      <c r="AH620" s="728" t="s">
        <v>112</v>
      </c>
      <c r="AI620" s="37">
        <v>0</v>
      </c>
      <c r="AJ620" s="38" t="s">
        <v>32</v>
      </c>
      <c r="AK620" s="661">
        <v>984577.5</v>
      </c>
      <c r="AL620" s="660"/>
      <c r="AM620" s="33"/>
      <c r="AN620" s="728" t="s">
        <v>112</v>
      </c>
      <c r="AO620" s="37">
        <v>10.152214411498287</v>
      </c>
      <c r="AP620" s="38" t="s">
        <v>32</v>
      </c>
      <c r="AQ620" s="661">
        <v>971052.2</v>
      </c>
      <c r="AR620" s="724"/>
    </row>
    <row r="621" spans="1:44" ht="56.25" customHeight="1">
      <c r="A621" s="1077"/>
      <c r="B621" s="1077"/>
      <c r="C621" s="1077"/>
      <c r="D621" s="1077"/>
      <c r="E621" s="1077"/>
      <c r="F621" s="1077"/>
      <c r="G621" s="1077"/>
      <c r="H621" s="1077"/>
      <c r="I621" s="1077"/>
      <c r="J621" s="728" t="s">
        <v>466</v>
      </c>
      <c r="K621" s="37">
        <v>0</v>
      </c>
      <c r="L621" s="38" t="s">
        <v>32</v>
      </c>
      <c r="M621" s="661">
        <v>0</v>
      </c>
      <c r="N621" s="660"/>
      <c r="O621" s="33"/>
      <c r="P621" s="728" t="s">
        <v>466</v>
      </c>
      <c r="Q621" s="37">
        <v>0</v>
      </c>
      <c r="R621" s="38" t="s">
        <v>32</v>
      </c>
      <c r="S621" s="661">
        <v>0</v>
      </c>
      <c r="T621" s="660"/>
      <c r="U621" s="33"/>
      <c r="V621" s="728" t="s">
        <v>466</v>
      </c>
      <c r="W621" s="37">
        <v>0</v>
      </c>
      <c r="X621" s="38" t="s">
        <v>32</v>
      </c>
      <c r="Y621" s="661">
        <v>0</v>
      </c>
      <c r="Z621" s="660"/>
      <c r="AA621" s="33"/>
      <c r="AB621" s="728" t="s">
        <v>466</v>
      </c>
      <c r="AC621" s="37">
        <v>0</v>
      </c>
      <c r="AD621" s="38" t="s">
        <v>32</v>
      </c>
      <c r="AE621" s="661">
        <v>0</v>
      </c>
      <c r="AF621" s="660"/>
      <c r="AG621" s="33"/>
      <c r="AH621" s="728" t="s">
        <v>466</v>
      </c>
      <c r="AI621" s="37">
        <v>0</v>
      </c>
      <c r="AJ621" s="38" t="s">
        <v>32</v>
      </c>
      <c r="AK621" s="661">
        <v>0</v>
      </c>
      <c r="AL621" s="660"/>
      <c r="AM621" s="33"/>
      <c r="AN621" s="728" t="s">
        <v>466</v>
      </c>
      <c r="AO621" s="37">
        <v>0</v>
      </c>
      <c r="AP621" s="38" t="s">
        <v>32</v>
      </c>
      <c r="AQ621" s="661">
        <v>0</v>
      </c>
      <c r="AR621" s="724"/>
    </row>
    <row r="622" spans="1:44" ht="36" customHeight="1">
      <c r="A622" s="1077"/>
      <c r="B622" s="1077"/>
      <c r="C622" s="1077"/>
      <c r="D622" s="1077"/>
      <c r="E622" s="1077"/>
      <c r="F622" s="1077"/>
      <c r="G622" s="1077"/>
      <c r="H622" s="1077"/>
      <c r="I622" s="1077"/>
      <c r="J622" s="728" t="s">
        <v>2682</v>
      </c>
      <c r="K622" s="37">
        <v>0</v>
      </c>
      <c r="L622" s="38" t="s">
        <v>2683</v>
      </c>
      <c r="M622" s="723">
        <v>1450.14678</v>
      </c>
      <c r="N622" s="660"/>
      <c r="O622" s="33"/>
      <c r="P622" s="728" t="s">
        <v>2682</v>
      </c>
      <c r="Q622" s="37">
        <v>0</v>
      </c>
      <c r="R622" s="38" t="s">
        <v>2683</v>
      </c>
      <c r="S622" s="661">
        <v>0</v>
      </c>
      <c r="T622" s="660"/>
      <c r="U622" s="33"/>
      <c r="V622" s="728" t="s">
        <v>2682</v>
      </c>
      <c r="W622" s="37">
        <v>0</v>
      </c>
      <c r="X622" s="38" t="s">
        <v>2683</v>
      </c>
      <c r="Y622" s="723">
        <v>900</v>
      </c>
      <c r="Z622" s="660"/>
      <c r="AA622" s="33"/>
      <c r="AB622" s="728" t="s">
        <v>2682</v>
      </c>
      <c r="AC622" s="37">
        <v>0</v>
      </c>
      <c r="AD622" s="38" t="s">
        <v>2683</v>
      </c>
      <c r="AE622" s="723">
        <v>1100</v>
      </c>
      <c r="AF622" s="660"/>
      <c r="AG622" s="33"/>
      <c r="AH622" s="728" t="s">
        <v>2682</v>
      </c>
      <c r="AI622" s="37">
        <v>0</v>
      </c>
      <c r="AJ622" s="38" t="s">
        <v>2683</v>
      </c>
      <c r="AK622" s="723">
        <v>1100</v>
      </c>
      <c r="AL622" s="660"/>
      <c r="AM622" s="33"/>
      <c r="AN622" s="728" t="s">
        <v>2682</v>
      </c>
      <c r="AO622" s="37">
        <v>0</v>
      </c>
      <c r="AP622" s="38" t="s">
        <v>2683</v>
      </c>
      <c r="AQ622" s="723">
        <v>1100</v>
      </c>
      <c r="AR622" s="724"/>
    </row>
    <row r="623" spans="1:44" ht="51.75" customHeight="1">
      <c r="A623" s="694" t="s">
        <v>453</v>
      </c>
      <c r="B623" s="662"/>
      <c r="C623" s="86"/>
      <c r="D623" s="663"/>
      <c r="E623" s="664"/>
      <c r="F623" s="665"/>
      <c r="G623" s="666"/>
      <c r="H623" s="662"/>
      <c r="I623" s="662"/>
      <c r="J623" s="662"/>
      <c r="K623" s="667"/>
      <c r="L623" s="668"/>
      <c r="M623" s="666"/>
      <c r="N623" s="662"/>
      <c r="O623" s="662"/>
      <c r="P623" s="662"/>
      <c r="Q623" s="669"/>
      <c r="R623" s="662"/>
      <c r="S623" s="670"/>
      <c r="T623" s="86"/>
      <c r="U623" s="86"/>
      <c r="V623" s="86"/>
      <c r="W623" s="87"/>
      <c r="X623" s="86"/>
      <c r="Y623" s="671"/>
      <c r="Z623" s="86"/>
      <c r="AA623" s="86"/>
      <c r="AB623" s="86"/>
      <c r="AC623" s="87"/>
      <c r="AD623" s="102"/>
      <c r="AE623" s="672"/>
      <c r="AF623" s="102"/>
      <c r="AG623" s="225"/>
      <c r="AH623" s="225"/>
      <c r="AI623" s="673"/>
      <c r="AJ623" s="225"/>
      <c r="AK623" s="674"/>
      <c r="AL623" s="225"/>
      <c r="AM623" s="225"/>
      <c r="AN623" s="225"/>
      <c r="AO623" s="673"/>
      <c r="AP623" s="225"/>
      <c r="AQ623" s="674"/>
      <c r="AR623" s="530"/>
    </row>
    <row r="624" spans="1:44" ht="35.25" customHeight="1">
      <c r="A624" s="1082" t="s">
        <v>454</v>
      </c>
      <c r="B624" s="1082"/>
      <c r="C624" s="1082"/>
      <c r="D624" s="1082"/>
      <c r="E624" s="1082"/>
      <c r="F624" s="1082"/>
      <c r="G624" s="1082"/>
      <c r="H624" s="1082"/>
      <c r="I624" s="1082"/>
      <c r="J624" s="675"/>
      <c r="K624" s="675"/>
      <c r="L624" s="675"/>
      <c r="M624" s="675"/>
      <c r="N624" s="78"/>
      <c r="O624" s="78"/>
      <c r="P624" s="78"/>
      <c r="Q624" s="77"/>
      <c r="R624" s="78"/>
      <c r="S624" s="676"/>
      <c r="T624" s="78"/>
      <c r="U624" s="78"/>
      <c r="V624" s="78"/>
      <c r="W624" s="677"/>
      <c r="X624" s="78"/>
      <c r="Y624" s="678"/>
      <c r="Z624" s="78"/>
      <c r="AA624" s="78"/>
      <c r="AB624" s="78"/>
      <c r="AC624" s="677"/>
      <c r="AD624" s="78"/>
      <c r="AE624" s="678"/>
      <c r="AF624" s="78"/>
      <c r="AG624" s="78"/>
      <c r="AH624" s="78"/>
      <c r="AI624" s="677"/>
      <c r="AJ624" s="78"/>
      <c r="AK624" s="678"/>
      <c r="AL624" s="78"/>
      <c r="AM624" s="78"/>
      <c r="AN624" s="78"/>
      <c r="AO624" s="677"/>
      <c r="AP624" s="78"/>
      <c r="AQ624" s="678"/>
      <c r="AR624" s="530"/>
    </row>
    <row r="625" spans="1:44" ht="56.25">
      <c r="A625" s="77"/>
      <c r="B625" s="77">
        <v>9789</v>
      </c>
      <c r="C625" s="78" t="s">
        <v>2680</v>
      </c>
      <c r="D625" s="79">
        <v>391.6</v>
      </c>
      <c r="E625" s="80">
        <v>4173042</v>
      </c>
      <c r="F625" s="81">
        <f>115.64-14.72</f>
        <v>100.92</v>
      </c>
      <c r="G625" s="80">
        <v>1232305</v>
      </c>
      <c r="H625" s="77"/>
      <c r="I625" s="77"/>
      <c r="J625" s="77"/>
      <c r="K625" s="82"/>
      <c r="L625" s="80"/>
      <c r="M625" s="80"/>
      <c r="N625" s="83"/>
      <c r="O625" s="77"/>
      <c r="P625" s="77"/>
      <c r="Q625" s="84"/>
      <c r="R625" s="77"/>
      <c r="S625" s="80"/>
      <c r="T625" s="85"/>
      <c r="U625" s="77"/>
      <c r="V625" s="77"/>
      <c r="W625" s="84"/>
      <c r="X625" s="77"/>
      <c r="Y625" s="537"/>
      <c r="Z625" s="77"/>
      <c r="AA625" s="77"/>
      <c r="AB625" s="77"/>
      <c r="AC625" s="84"/>
      <c r="AD625" s="77"/>
      <c r="AE625" s="80"/>
      <c r="AF625" s="85"/>
      <c r="AG625" s="77"/>
      <c r="AH625" s="77"/>
      <c r="AI625" s="84"/>
      <c r="AJ625" s="77"/>
      <c r="AK625" s="83"/>
      <c r="AL625" s="85"/>
      <c r="AM625" s="77"/>
      <c r="AN625" s="77"/>
      <c r="AO625" s="84"/>
      <c r="AP625" s="77"/>
      <c r="AQ625" s="83"/>
      <c r="AR625" s="530"/>
    </row>
    <row r="626" spans="1:44" ht="56.25">
      <c r="A626" s="77"/>
      <c r="B626" s="77">
        <v>89850</v>
      </c>
      <c r="C626" s="78" t="s">
        <v>456</v>
      </c>
      <c r="D626" s="79">
        <v>101.8</v>
      </c>
      <c r="E626" s="80">
        <f>G626/F626*D626</f>
        <v>916200</v>
      </c>
      <c r="F626" s="81">
        <v>50</v>
      </c>
      <c r="G626" s="80">
        <v>450000</v>
      </c>
      <c r="H626" s="77"/>
      <c r="I626" s="77"/>
      <c r="J626" s="77"/>
      <c r="K626" s="82"/>
      <c r="L626" s="80"/>
      <c r="M626" s="80"/>
      <c r="N626" s="83"/>
      <c r="O626" s="77"/>
      <c r="P626" s="77"/>
      <c r="Q626" s="84"/>
      <c r="R626" s="77"/>
      <c r="S626" s="80"/>
      <c r="T626" s="85"/>
      <c r="U626" s="77"/>
      <c r="V626" s="77"/>
      <c r="W626" s="84"/>
      <c r="X626" s="77"/>
      <c r="Y626" s="537"/>
      <c r="Z626" s="77"/>
      <c r="AA626" s="77"/>
      <c r="AB626" s="77"/>
      <c r="AC626" s="84"/>
      <c r="AD626" s="77"/>
      <c r="AE626" s="80"/>
      <c r="AF626" s="85"/>
      <c r="AG626" s="77"/>
      <c r="AH626" s="77"/>
      <c r="AI626" s="84"/>
      <c r="AJ626" s="77"/>
      <c r="AK626" s="83"/>
      <c r="AL626" s="85"/>
      <c r="AM626" s="77"/>
      <c r="AN626" s="77"/>
      <c r="AO626" s="84"/>
      <c r="AP626" s="77"/>
      <c r="AQ626" s="83"/>
      <c r="AR626" s="530"/>
    </row>
    <row r="627" spans="1:44" ht="93.75">
      <c r="A627" s="77"/>
      <c r="B627" s="77">
        <v>89804</v>
      </c>
      <c r="C627" s="78" t="s">
        <v>457</v>
      </c>
      <c r="D627" s="79">
        <v>223.7</v>
      </c>
      <c r="E627" s="80">
        <f>G627/F627*D627</f>
        <v>1789600</v>
      </c>
      <c r="F627" s="81">
        <v>50</v>
      </c>
      <c r="G627" s="80">
        <v>400000</v>
      </c>
      <c r="H627" s="77"/>
      <c r="I627" s="77"/>
      <c r="J627" s="77"/>
      <c r="K627" s="82"/>
      <c r="L627" s="80"/>
      <c r="M627" s="80"/>
      <c r="N627" s="83"/>
      <c r="O627" s="77"/>
      <c r="P627" s="77"/>
      <c r="Q627" s="84"/>
      <c r="R627" s="77"/>
      <c r="S627" s="80"/>
      <c r="T627" s="85"/>
      <c r="U627" s="77"/>
      <c r="V627" s="77"/>
      <c r="W627" s="84"/>
      <c r="X627" s="77"/>
      <c r="Y627" s="537"/>
      <c r="Z627" s="77"/>
      <c r="AA627" s="77"/>
      <c r="AB627" s="77"/>
      <c r="AC627" s="84"/>
      <c r="AD627" s="77"/>
      <c r="AE627" s="80"/>
      <c r="AF627" s="85"/>
      <c r="AG627" s="77"/>
      <c r="AH627" s="77"/>
      <c r="AI627" s="84"/>
      <c r="AJ627" s="77"/>
      <c r="AK627" s="83"/>
      <c r="AL627" s="85"/>
      <c r="AM627" s="77"/>
      <c r="AN627" s="77"/>
      <c r="AO627" s="84"/>
      <c r="AP627" s="77"/>
      <c r="AQ627" s="83"/>
      <c r="AR627" s="530"/>
    </row>
    <row r="628" spans="1:44" ht="46.5" customHeight="1">
      <c r="A628" s="1084" t="s">
        <v>458</v>
      </c>
      <c r="B628" s="1084"/>
      <c r="C628" s="1084"/>
      <c r="D628" s="656">
        <f t="shared" ref="D628:AQ628" si="0">SUM(D625:D627)</f>
        <v>717.1</v>
      </c>
      <c r="E628" s="72">
        <f t="shared" si="0"/>
        <v>6878842</v>
      </c>
      <c r="F628" s="658">
        <f t="shared" si="0"/>
        <v>200.92000000000002</v>
      </c>
      <c r="G628" s="72">
        <f t="shared" si="0"/>
        <v>2082305</v>
      </c>
      <c r="H628" s="679">
        <f t="shared" si="0"/>
        <v>0</v>
      </c>
      <c r="I628" s="679">
        <f t="shared" si="0"/>
        <v>0</v>
      </c>
      <c r="J628" s="679">
        <f t="shared" si="0"/>
        <v>0</v>
      </c>
      <c r="K628" s="680">
        <f t="shared" si="0"/>
        <v>0</v>
      </c>
      <c r="L628" s="681">
        <f t="shared" si="0"/>
        <v>0</v>
      </c>
      <c r="M628" s="72">
        <f t="shared" si="0"/>
        <v>0</v>
      </c>
      <c r="N628" s="679">
        <f t="shared" si="0"/>
        <v>0</v>
      </c>
      <c r="O628" s="679">
        <f t="shared" si="0"/>
        <v>0</v>
      </c>
      <c r="P628" s="679">
        <f t="shared" si="0"/>
        <v>0</v>
      </c>
      <c r="Q628" s="656">
        <f t="shared" si="0"/>
        <v>0</v>
      </c>
      <c r="R628" s="679">
        <f t="shared" si="0"/>
        <v>0</v>
      </c>
      <c r="S628" s="72">
        <f t="shared" si="0"/>
        <v>0</v>
      </c>
      <c r="T628" s="679">
        <f t="shared" si="0"/>
        <v>0</v>
      </c>
      <c r="U628" s="679">
        <f t="shared" si="0"/>
        <v>0</v>
      </c>
      <c r="V628" s="679">
        <f t="shared" si="0"/>
        <v>0</v>
      </c>
      <c r="W628" s="682">
        <f t="shared" si="0"/>
        <v>0</v>
      </c>
      <c r="X628" s="679">
        <f t="shared" si="0"/>
        <v>0</v>
      </c>
      <c r="Y628" s="72">
        <f t="shared" si="0"/>
        <v>0</v>
      </c>
      <c r="Z628" s="679">
        <f t="shared" si="0"/>
        <v>0</v>
      </c>
      <c r="AA628" s="679">
        <f t="shared" si="0"/>
        <v>0</v>
      </c>
      <c r="AB628" s="679">
        <f t="shared" si="0"/>
        <v>0</v>
      </c>
      <c r="AC628" s="682">
        <f t="shared" si="0"/>
        <v>0</v>
      </c>
      <c r="AD628" s="679">
        <f t="shared" si="0"/>
        <v>0</v>
      </c>
      <c r="AE628" s="72">
        <f t="shared" si="0"/>
        <v>0</v>
      </c>
      <c r="AF628" s="679">
        <f t="shared" si="0"/>
        <v>0</v>
      </c>
      <c r="AG628" s="679">
        <f t="shared" si="0"/>
        <v>0</v>
      </c>
      <c r="AH628" s="679">
        <f t="shared" si="0"/>
        <v>0</v>
      </c>
      <c r="AI628" s="656">
        <f t="shared" si="0"/>
        <v>0</v>
      </c>
      <c r="AJ628" s="679">
        <f t="shared" si="0"/>
        <v>0</v>
      </c>
      <c r="AK628" s="659">
        <f t="shared" si="0"/>
        <v>0</v>
      </c>
      <c r="AL628" s="679">
        <f t="shared" si="0"/>
        <v>0</v>
      </c>
      <c r="AM628" s="679">
        <f t="shared" si="0"/>
        <v>0</v>
      </c>
      <c r="AN628" s="679">
        <f t="shared" si="0"/>
        <v>0</v>
      </c>
      <c r="AO628" s="682">
        <f t="shared" si="0"/>
        <v>0</v>
      </c>
      <c r="AP628" s="679">
        <f t="shared" si="0"/>
        <v>0</v>
      </c>
      <c r="AQ628" s="659">
        <f t="shared" si="0"/>
        <v>0</v>
      </c>
      <c r="AR628" s="530"/>
    </row>
    <row r="629" spans="1:44" ht="37.5" customHeight="1">
      <c r="A629" s="693" t="s">
        <v>459</v>
      </c>
      <c r="B629" s="86"/>
      <c r="C629" s="86"/>
      <c r="D629" s="87"/>
      <c r="E629" s="86"/>
      <c r="F629" s="88"/>
      <c r="G629" s="86"/>
      <c r="H629" s="86"/>
      <c r="I629" s="86"/>
      <c r="J629" s="86"/>
      <c r="K629" s="89"/>
      <c r="L629" s="86"/>
      <c r="M629" s="86"/>
      <c r="N629" s="86"/>
      <c r="O629" s="86"/>
      <c r="P629" s="86"/>
      <c r="Q629" s="86"/>
      <c r="R629" s="86"/>
      <c r="S629" s="329"/>
      <c r="T629" s="86"/>
      <c r="U629" s="86"/>
      <c r="V629" s="86"/>
      <c r="W629" s="86"/>
      <c r="X629" s="86"/>
      <c r="Y629" s="86"/>
      <c r="Z629" s="86"/>
      <c r="AA629" s="86"/>
      <c r="AB629" s="86"/>
      <c r="AC629" s="86"/>
      <c r="AD629" s="86"/>
      <c r="AE629" s="86"/>
      <c r="AF629" s="86"/>
      <c r="AG629" s="86"/>
      <c r="AH629" s="86"/>
      <c r="AI629" s="86"/>
      <c r="AJ629" s="86"/>
      <c r="AK629" s="90"/>
      <c r="AL629" s="86"/>
      <c r="AM629" s="86"/>
      <c r="AN629" s="86"/>
      <c r="AO629" s="86"/>
      <c r="AP629" s="86"/>
      <c r="AQ629" s="90"/>
      <c r="AR629" s="530"/>
    </row>
    <row r="630" spans="1:44" ht="18.75">
      <c r="A630" s="77">
        <v>1</v>
      </c>
      <c r="B630" s="91"/>
      <c r="C630" s="92"/>
      <c r="D630" s="93"/>
      <c r="E630" s="92"/>
      <c r="F630" s="94"/>
      <c r="G630" s="92"/>
      <c r="H630" s="95"/>
      <c r="I630" s="95"/>
      <c r="J630" s="96"/>
      <c r="K630" s="97"/>
      <c r="L630" s="95"/>
      <c r="M630" s="95"/>
      <c r="N630" s="95"/>
      <c r="O630" s="95"/>
      <c r="P630" s="95"/>
      <c r="Q630" s="95"/>
      <c r="R630" s="95"/>
      <c r="S630" s="330"/>
      <c r="T630" s="77"/>
      <c r="U630" s="77"/>
      <c r="V630" s="77"/>
      <c r="W630" s="77"/>
      <c r="X630" s="77"/>
      <c r="Y630" s="77"/>
      <c r="Z630" s="77"/>
      <c r="AA630" s="77"/>
      <c r="AB630" s="77"/>
      <c r="AC630" s="77"/>
      <c r="AD630" s="77"/>
      <c r="AE630" s="77"/>
      <c r="AF630" s="77"/>
      <c r="AG630" s="77"/>
      <c r="AH630" s="77"/>
      <c r="AI630" s="77"/>
      <c r="AJ630" s="77"/>
      <c r="AK630" s="83"/>
      <c r="AL630" s="77"/>
      <c r="AM630" s="77"/>
      <c r="AN630" s="77"/>
      <c r="AO630" s="77"/>
      <c r="AP630" s="77"/>
      <c r="AQ630" s="83"/>
      <c r="AR630" s="530"/>
    </row>
    <row r="631" spans="1:44" ht="18.75">
      <c r="A631" s="77">
        <v>2</v>
      </c>
      <c r="B631" s="98"/>
      <c r="C631" s="94"/>
      <c r="D631" s="93"/>
      <c r="E631" s="92"/>
      <c r="F631" s="94"/>
      <c r="G631" s="92"/>
      <c r="H631" s="95"/>
      <c r="I631" s="95"/>
      <c r="J631" s="96"/>
      <c r="K631" s="97"/>
      <c r="L631" s="95"/>
      <c r="M631" s="95"/>
      <c r="N631" s="95"/>
      <c r="O631" s="95"/>
      <c r="P631" s="95"/>
      <c r="Q631" s="95"/>
      <c r="R631" s="95"/>
      <c r="S631" s="330"/>
      <c r="T631" s="77"/>
      <c r="U631" s="77"/>
      <c r="V631" s="77"/>
      <c r="W631" s="77"/>
      <c r="X631" s="77"/>
      <c r="Y631" s="77"/>
      <c r="Z631" s="77"/>
      <c r="AA631" s="77"/>
      <c r="AB631" s="77"/>
      <c r="AC631" s="77"/>
      <c r="AD631" s="77"/>
      <c r="AE631" s="77"/>
      <c r="AF631" s="77"/>
      <c r="AG631" s="77"/>
      <c r="AH631" s="77"/>
      <c r="AI631" s="77"/>
      <c r="AJ631" s="77"/>
      <c r="AK631" s="83"/>
      <c r="AL631" s="77"/>
      <c r="AM631" s="77"/>
      <c r="AN631" s="77"/>
      <c r="AO631" s="77"/>
      <c r="AP631" s="77"/>
      <c r="AQ631" s="83"/>
      <c r="AR631" s="530"/>
    </row>
    <row r="632" spans="1:44" ht="18.75">
      <c r="A632" s="77">
        <v>3</v>
      </c>
      <c r="B632" s="98"/>
      <c r="C632" s="94"/>
      <c r="D632" s="93"/>
      <c r="E632" s="92"/>
      <c r="F632" s="94"/>
      <c r="G632" s="92"/>
      <c r="H632" s="95"/>
      <c r="I632" s="95"/>
      <c r="J632" s="96"/>
      <c r="K632" s="97"/>
      <c r="L632" s="95"/>
      <c r="M632" s="95"/>
      <c r="N632" s="95"/>
      <c r="O632" s="95"/>
      <c r="P632" s="95"/>
      <c r="Q632" s="95"/>
      <c r="R632" s="95"/>
      <c r="S632" s="330"/>
      <c r="T632" s="77"/>
      <c r="U632" s="77"/>
      <c r="V632" s="77"/>
      <c r="W632" s="77"/>
      <c r="X632" s="77"/>
      <c r="Y632" s="77"/>
      <c r="Z632" s="77"/>
      <c r="AA632" s="77"/>
      <c r="AB632" s="77"/>
      <c r="AC632" s="77"/>
      <c r="AD632" s="77"/>
      <c r="AE632" s="77"/>
      <c r="AF632" s="77"/>
      <c r="AG632" s="77"/>
      <c r="AH632" s="77"/>
      <c r="AI632" s="77"/>
      <c r="AJ632" s="77"/>
      <c r="AK632" s="83"/>
      <c r="AL632" s="77"/>
      <c r="AM632" s="77"/>
      <c r="AN632" s="77"/>
      <c r="AO632" s="77"/>
      <c r="AP632" s="77"/>
      <c r="AQ632" s="83"/>
      <c r="AR632" s="530"/>
    </row>
    <row r="633" spans="1:44" ht="81" customHeight="1">
      <c r="A633" s="1081" t="s">
        <v>2684</v>
      </c>
      <c r="B633" s="1081"/>
      <c r="C633" s="1081"/>
      <c r="D633" s="540">
        <f>D605+D628</f>
        <v>1105.1681000000001</v>
      </c>
      <c r="E633" s="540">
        <f>E605+E628</f>
        <v>10948401.15909091</v>
      </c>
      <c r="F633" s="540">
        <f>F605+F628</f>
        <v>588.97410000000002</v>
      </c>
      <c r="G633" s="540">
        <f>G605+G628</f>
        <v>6151864.1590909092</v>
      </c>
      <c r="H633" s="305"/>
      <c r="I633" s="305"/>
      <c r="J633" s="695" t="s">
        <v>1312</v>
      </c>
      <c r="K633" s="306"/>
      <c r="L633" s="306"/>
      <c r="M633" s="306">
        <f t="shared" ref="M633:M642" si="1">M605</f>
        <v>999999.99997999996</v>
      </c>
      <c r="N633" s="306"/>
      <c r="O633" s="306"/>
      <c r="P633" s="306"/>
      <c r="Q633" s="306"/>
      <c r="R633" s="306"/>
      <c r="S633" s="331">
        <f t="shared" ref="S633:S642" si="2">S605</f>
        <v>999999.99999999988</v>
      </c>
      <c r="T633" s="306"/>
      <c r="U633" s="306"/>
      <c r="V633" s="306"/>
      <c r="W633" s="306"/>
      <c r="X633" s="306"/>
      <c r="Y633" s="306">
        <f t="shared" ref="Y633:Y642" si="3">Y605</f>
        <v>1000000</v>
      </c>
      <c r="Z633" s="306"/>
      <c r="AA633" s="306"/>
      <c r="AB633" s="306"/>
      <c r="AC633" s="306"/>
      <c r="AD633" s="306"/>
      <c r="AE633" s="306">
        <f t="shared" ref="AE633:AE642" si="4">AE605</f>
        <v>1002149.9999999999</v>
      </c>
      <c r="AF633" s="306"/>
      <c r="AG633" s="306"/>
      <c r="AH633" s="306"/>
      <c r="AI633" s="306"/>
      <c r="AJ633" s="306"/>
      <c r="AK633" s="307">
        <f t="shared" ref="AK633:AK642" si="5">AK605</f>
        <v>1002900</v>
      </c>
      <c r="AL633" s="306"/>
      <c r="AM633" s="306"/>
      <c r="AN633" s="306"/>
      <c r="AO633" s="306"/>
      <c r="AP633" s="306"/>
      <c r="AQ633" s="307">
        <f t="shared" ref="AQ633:AQ642" si="6">AQ605</f>
        <v>1002150</v>
      </c>
      <c r="AR633" s="530"/>
    </row>
    <row r="634" spans="1:44" ht="24" customHeight="1">
      <c r="A634" s="1080" t="s">
        <v>2684</v>
      </c>
      <c r="B634" s="1080"/>
      <c r="C634" s="1080"/>
      <c r="D634" s="1080"/>
      <c r="E634" s="1080"/>
      <c r="F634" s="1080"/>
      <c r="G634" s="1080"/>
      <c r="H634" s="1080"/>
      <c r="I634" s="1080"/>
      <c r="J634" s="1073" t="str">
        <f>J606</f>
        <v>ремонт покрытия проезжей части</v>
      </c>
      <c r="K634" s="308">
        <f>K606</f>
        <v>79.751029016657711</v>
      </c>
      <c r="L634" s="308" t="str">
        <f>L606</f>
        <v>км</v>
      </c>
      <c r="M634" s="308">
        <f t="shared" si="1"/>
        <v>997896.75561000011</v>
      </c>
      <c r="N634" s="683"/>
      <c r="O634" s="308"/>
      <c r="P634" s="1073" t="str">
        <f t="shared" ref="P634" si="7">P606</f>
        <v>ремонт покрытия проезжей части</v>
      </c>
      <c r="Q634" s="308">
        <f t="shared" ref="Q634:R642" si="8">Q606</f>
        <v>21.953154171842474</v>
      </c>
      <c r="R634" s="308" t="str">
        <f t="shared" si="8"/>
        <v>км</v>
      </c>
      <c r="S634" s="332">
        <f t="shared" si="2"/>
        <v>310995.54100000014</v>
      </c>
      <c r="T634" s="683"/>
      <c r="U634" s="308"/>
      <c r="V634" s="1073" t="str">
        <f t="shared" ref="V634" si="9">V606</f>
        <v>ремонт покрытия проезжей части</v>
      </c>
      <c r="W634" s="308">
        <f t="shared" ref="W634:X642" si="10">W606</f>
        <v>22.8</v>
      </c>
      <c r="X634" s="308" t="str">
        <f t="shared" si="10"/>
        <v>км</v>
      </c>
      <c r="Y634" s="308">
        <f t="shared" si="3"/>
        <v>176258</v>
      </c>
      <c r="Z634" s="683"/>
      <c r="AA634" s="308"/>
      <c r="AB634" s="1073" t="str">
        <f t="shared" ref="AB634" si="11">AB606</f>
        <v>ремонт покрытия проезжей части</v>
      </c>
      <c r="AC634" s="308">
        <f t="shared" ref="AC634:AD642" si="12">AC606</f>
        <v>8.8522144114982879</v>
      </c>
      <c r="AD634" s="308" t="str">
        <f t="shared" si="12"/>
        <v>км</v>
      </c>
      <c r="AE634" s="308">
        <f t="shared" si="4"/>
        <v>162509.20000000001</v>
      </c>
      <c r="AF634" s="683"/>
      <c r="AG634" s="308"/>
      <c r="AH634" s="1073" t="str">
        <f>AH606</f>
        <v>ремонт покрытия проезжей части</v>
      </c>
      <c r="AI634" s="308">
        <f>AI606</f>
        <v>0.3271420323325635</v>
      </c>
      <c r="AJ634" s="308" t="str">
        <f>AJ606</f>
        <v>км</v>
      </c>
      <c r="AK634" s="309">
        <f t="shared" si="5"/>
        <v>3000.05</v>
      </c>
      <c r="AL634" s="683">
        <f>AL606</f>
        <v>0</v>
      </c>
      <c r="AM634" s="308">
        <f>AM606</f>
        <v>0</v>
      </c>
      <c r="AN634" s="1073" t="str">
        <f>AN606</f>
        <v>ремонт покрытия проезжей части</v>
      </c>
      <c r="AO634" s="308">
        <f>AO606</f>
        <v>0.27</v>
      </c>
      <c r="AP634" s="308" t="str">
        <f>AP606</f>
        <v>км</v>
      </c>
      <c r="AQ634" s="309">
        <f t="shared" si="6"/>
        <v>4769.55</v>
      </c>
      <c r="AR634" s="530"/>
    </row>
    <row r="635" spans="1:44" ht="24" customHeight="1">
      <c r="A635" s="1080"/>
      <c r="B635" s="1080"/>
      <c r="C635" s="1080"/>
      <c r="D635" s="1080"/>
      <c r="E635" s="1080"/>
      <c r="F635" s="1080"/>
      <c r="G635" s="1080"/>
      <c r="H635" s="1080"/>
      <c r="I635" s="1080"/>
      <c r="J635" s="1073"/>
      <c r="K635" s="308">
        <f t="shared" ref="K635:L642" si="13">K607</f>
        <v>832887.7699999999</v>
      </c>
      <c r="L635" s="308" t="str">
        <f t="shared" si="13"/>
        <v>кв.м.</v>
      </c>
      <c r="M635" s="308">
        <f t="shared" si="1"/>
        <v>0</v>
      </c>
      <c r="N635" s="683"/>
      <c r="O635" s="308"/>
      <c r="P635" s="1073"/>
      <c r="Q635" s="308">
        <f t="shared" si="8"/>
        <v>235627.25502359084</v>
      </c>
      <c r="R635" s="308" t="str">
        <f t="shared" si="8"/>
        <v>кв.м.</v>
      </c>
      <c r="S635" s="332">
        <f t="shared" si="2"/>
        <v>0</v>
      </c>
      <c r="T635" s="683"/>
      <c r="U635" s="308"/>
      <c r="V635" s="1073"/>
      <c r="W635" s="308">
        <f t="shared" si="10"/>
        <v>214950</v>
      </c>
      <c r="X635" s="308" t="str">
        <f t="shared" si="10"/>
        <v>кв.м.</v>
      </c>
      <c r="Y635" s="308">
        <f t="shared" si="3"/>
        <v>0</v>
      </c>
      <c r="Z635" s="683"/>
      <c r="AA635" s="308"/>
      <c r="AB635" s="1073"/>
      <c r="AC635" s="308">
        <f t="shared" si="12"/>
        <v>113241</v>
      </c>
      <c r="AD635" s="308" t="str">
        <f t="shared" si="12"/>
        <v>кв.м.</v>
      </c>
      <c r="AE635" s="308">
        <f t="shared" si="4"/>
        <v>0</v>
      </c>
      <c r="AF635" s="683"/>
      <c r="AG635" s="308"/>
      <c r="AH635" s="1073"/>
      <c r="AI635" s="308">
        <f t="shared" ref="AI635:AJ642" si="14">AI607</f>
        <v>1833</v>
      </c>
      <c r="AJ635" s="308" t="str">
        <f t="shared" si="14"/>
        <v>кв.м.</v>
      </c>
      <c r="AK635" s="309">
        <f t="shared" si="5"/>
        <v>0</v>
      </c>
      <c r="AL635" s="683">
        <f t="shared" ref="AL635:AM642" si="15">AL607</f>
        <v>0</v>
      </c>
      <c r="AM635" s="308">
        <f t="shared" si="15"/>
        <v>0</v>
      </c>
      <c r="AN635" s="1073"/>
      <c r="AO635" s="308">
        <f t="shared" ref="AO635:AP642" si="16">AO607</f>
        <v>3533</v>
      </c>
      <c r="AP635" s="308" t="str">
        <f t="shared" si="16"/>
        <v>кв.м.</v>
      </c>
      <c r="AQ635" s="309">
        <f t="shared" si="6"/>
        <v>0</v>
      </c>
      <c r="AR635" s="530"/>
    </row>
    <row r="636" spans="1:44" ht="24" customHeight="1">
      <c r="A636" s="1080"/>
      <c r="B636" s="1080"/>
      <c r="C636" s="1080"/>
      <c r="D636" s="1080"/>
      <c r="E636" s="1080"/>
      <c r="F636" s="1080"/>
      <c r="G636" s="1080"/>
      <c r="H636" s="1080"/>
      <c r="I636" s="1080"/>
      <c r="J636" s="1073" t="str">
        <f>J608</f>
        <v>капитальный ремонт</v>
      </c>
      <c r="K636" s="308">
        <f t="shared" si="13"/>
        <v>0</v>
      </c>
      <c r="L636" s="308" t="str">
        <f t="shared" si="13"/>
        <v>км</v>
      </c>
      <c r="M636" s="308">
        <f t="shared" si="1"/>
        <v>0</v>
      </c>
      <c r="N636" s="683"/>
      <c r="O636" s="308"/>
      <c r="P636" s="1073" t="str">
        <f t="shared" ref="P636" si="17">P608</f>
        <v>капитальный ремонт</v>
      </c>
      <c r="Q636" s="308">
        <f t="shared" si="8"/>
        <v>0</v>
      </c>
      <c r="R636" s="308" t="str">
        <f t="shared" si="8"/>
        <v>км</v>
      </c>
      <c r="S636" s="332">
        <f t="shared" si="2"/>
        <v>0</v>
      </c>
      <c r="T636" s="683"/>
      <c r="U636" s="308"/>
      <c r="V636" s="1073" t="str">
        <f t="shared" ref="V636" si="18">V608</f>
        <v>капитальный ремонт</v>
      </c>
      <c r="W636" s="308">
        <f t="shared" si="10"/>
        <v>0</v>
      </c>
      <c r="X636" s="308" t="str">
        <f t="shared" si="10"/>
        <v>км</v>
      </c>
      <c r="Y636" s="308">
        <f t="shared" si="3"/>
        <v>0</v>
      </c>
      <c r="Z636" s="683"/>
      <c r="AA636" s="308"/>
      <c r="AB636" s="1073" t="str">
        <f t="shared" ref="AB636" si="19">AB608</f>
        <v>капитальный ремонт</v>
      </c>
      <c r="AC636" s="308">
        <f t="shared" si="12"/>
        <v>0</v>
      </c>
      <c r="AD636" s="308" t="str">
        <f t="shared" si="12"/>
        <v>км</v>
      </c>
      <c r="AE636" s="308">
        <f t="shared" si="4"/>
        <v>0</v>
      </c>
      <c r="AF636" s="683"/>
      <c r="AG636" s="308"/>
      <c r="AH636" s="1073" t="str">
        <f>AH608</f>
        <v>капитальный ремонт</v>
      </c>
      <c r="AI636" s="308">
        <f t="shared" si="14"/>
        <v>0.26</v>
      </c>
      <c r="AJ636" s="308" t="str">
        <f t="shared" si="14"/>
        <v>км</v>
      </c>
      <c r="AK636" s="309">
        <f t="shared" si="5"/>
        <v>11322.45</v>
      </c>
      <c r="AL636" s="683">
        <f t="shared" si="15"/>
        <v>0</v>
      </c>
      <c r="AM636" s="308">
        <f t="shared" si="15"/>
        <v>0</v>
      </c>
      <c r="AN636" s="1073" t="str">
        <f>AN608</f>
        <v>капитальный ремонт</v>
      </c>
      <c r="AO636" s="308">
        <f t="shared" si="16"/>
        <v>1.2200000000000002</v>
      </c>
      <c r="AP636" s="308" t="str">
        <f t="shared" si="16"/>
        <v>км</v>
      </c>
      <c r="AQ636" s="309">
        <f t="shared" si="6"/>
        <v>23078.25</v>
      </c>
      <c r="AR636" s="530"/>
    </row>
    <row r="637" spans="1:44" ht="24" customHeight="1">
      <c r="A637" s="1080"/>
      <c r="B637" s="1080"/>
      <c r="C637" s="1080"/>
      <c r="D637" s="1080"/>
      <c r="E637" s="1080"/>
      <c r="F637" s="1080"/>
      <c r="G637" s="1080"/>
      <c r="H637" s="1080"/>
      <c r="I637" s="1080"/>
      <c r="J637" s="1073"/>
      <c r="K637" s="308">
        <f t="shared" si="13"/>
        <v>0</v>
      </c>
      <c r="L637" s="308" t="str">
        <f t="shared" si="13"/>
        <v>кв.м.</v>
      </c>
      <c r="M637" s="308">
        <f t="shared" si="1"/>
        <v>0</v>
      </c>
      <c r="N637" s="683"/>
      <c r="O637" s="308"/>
      <c r="P637" s="1073"/>
      <c r="Q637" s="308">
        <f t="shared" si="8"/>
        <v>0</v>
      </c>
      <c r="R637" s="308" t="str">
        <f t="shared" si="8"/>
        <v>кв.м.</v>
      </c>
      <c r="S637" s="332">
        <f t="shared" si="2"/>
        <v>0</v>
      </c>
      <c r="T637" s="683"/>
      <c r="U637" s="308"/>
      <c r="V637" s="1073"/>
      <c r="W637" s="308">
        <f t="shared" si="10"/>
        <v>0</v>
      </c>
      <c r="X637" s="308" t="str">
        <f t="shared" si="10"/>
        <v>кв.м.</v>
      </c>
      <c r="Y637" s="308">
        <f t="shared" si="3"/>
        <v>0</v>
      </c>
      <c r="Z637" s="683"/>
      <c r="AA637" s="308"/>
      <c r="AB637" s="1073"/>
      <c r="AC637" s="308">
        <f t="shared" si="12"/>
        <v>0</v>
      </c>
      <c r="AD637" s="308" t="str">
        <f t="shared" si="12"/>
        <v>кв.м.</v>
      </c>
      <c r="AE637" s="308">
        <f t="shared" si="4"/>
        <v>0</v>
      </c>
      <c r="AF637" s="683"/>
      <c r="AG637" s="308"/>
      <c r="AH637" s="1073"/>
      <c r="AI637" s="308">
        <f t="shared" si="14"/>
        <v>8387</v>
      </c>
      <c r="AJ637" s="308" t="str">
        <f t="shared" si="14"/>
        <v>кв.м.</v>
      </c>
      <c r="AK637" s="309">
        <f t="shared" si="5"/>
        <v>0</v>
      </c>
      <c r="AL637" s="683">
        <f t="shared" si="15"/>
        <v>0</v>
      </c>
      <c r="AM637" s="308">
        <f t="shared" si="15"/>
        <v>0</v>
      </c>
      <c r="AN637" s="1073"/>
      <c r="AO637" s="308">
        <f t="shared" si="16"/>
        <v>17095</v>
      </c>
      <c r="AP637" s="308" t="str">
        <f t="shared" si="16"/>
        <v>кв.м.</v>
      </c>
      <c r="AQ637" s="309">
        <f t="shared" si="6"/>
        <v>0</v>
      </c>
      <c r="AR637" s="530"/>
    </row>
    <row r="638" spans="1:44" ht="24" customHeight="1">
      <c r="A638" s="1080"/>
      <c r="B638" s="1080"/>
      <c r="C638" s="1080"/>
      <c r="D638" s="1080"/>
      <c r="E638" s="1080"/>
      <c r="F638" s="1080"/>
      <c r="G638" s="1080"/>
      <c r="H638" s="1080"/>
      <c r="I638" s="1080"/>
      <c r="J638" s="1073" t="str">
        <f>J610</f>
        <v>реконструкция</v>
      </c>
      <c r="K638" s="308">
        <f t="shared" si="13"/>
        <v>0</v>
      </c>
      <c r="L638" s="308" t="str">
        <f t="shared" si="13"/>
        <v>км</v>
      </c>
      <c r="M638" s="308">
        <f t="shared" si="1"/>
        <v>0</v>
      </c>
      <c r="N638" s="683"/>
      <c r="O638" s="308"/>
      <c r="P638" s="1073" t="str">
        <f t="shared" ref="P638" si="20">P610</f>
        <v>реконструкция</v>
      </c>
      <c r="Q638" s="308">
        <f t="shared" si="8"/>
        <v>5.6000000000000001E-2</v>
      </c>
      <c r="R638" s="308" t="str">
        <f t="shared" si="8"/>
        <v>км</v>
      </c>
      <c r="S638" s="332">
        <f t="shared" si="2"/>
        <v>586725.45900000003</v>
      </c>
      <c r="T638" s="683"/>
      <c r="U638" s="308"/>
      <c r="V638" s="1073" t="str">
        <f t="shared" ref="V638" si="21">V610</f>
        <v>реконструкция</v>
      </c>
      <c r="W638" s="308">
        <f t="shared" si="10"/>
        <v>5.6000000000000001E-2</v>
      </c>
      <c r="X638" s="308" t="str">
        <f t="shared" si="10"/>
        <v>км</v>
      </c>
      <c r="Y638" s="308">
        <f t="shared" si="3"/>
        <v>170000</v>
      </c>
      <c r="Z638" s="683"/>
      <c r="AA638" s="308"/>
      <c r="AB638" s="1073" t="str">
        <f t="shared" ref="AB638" si="22">AB610</f>
        <v>реконструкция</v>
      </c>
      <c r="AC638" s="308">
        <f t="shared" si="12"/>
        <v>0</v>
      </c>
      <c r="AD638" s="308" t="str">
        <f t="shared" si="12"/>
        <v>км</v>
      </c>
      <c r="AE638" s="308">
        <f t="shared" si="4"/>
        <v>0</v>
      </c>
      <c r="AF638" s="683"/>
      <c r="AG638" s="308"/>
      <c r="AH638" s="1073" t="str">
        <f>AH610</f>
        <v>реконструкция</v>
      </c>
      <c r="AI638" s="308">
        <f t="shared" si="14"/>
        <v>0</v>
      </c>
      <c r="AJ638" s="308" t="str">
        <f t="shared" si="14"/>
        <v>км</v>
      </c>
      <c r="AK638" s="309">
        <f t="shared" si="5"/>
        <v>0</v>
      </c>
      <c r="AL638" s="683">
        <f t="shared" si="15"/>
        <v>0</v>
      </c>
      <c r="AM638" s="308">
        <f t="shared" si="15"/>
        <v>0</v>
      </c>
      <c r="AN638" s="1073" t="str">
        <f>AN610</f>
        <v>реконструкция</v>
      </c>
      <c r="AO638" s="308">
        <f t="shared" si="16"/>
        <v>0</v>
      </c>
      <c r="AP638" s="308" t="str">
        <f t="shared" si="16"/>
        <v>км</v>
      </c>
      <c r="AQ638" s="309">
        <f t="shared" si="6"/>
        <v>0</v>
      </c>
      <c r="AR638" s="530"/>
    </row>
    <row r="639" spans="1:44" ht="24" customHeight="1">
      <c r="A639" s="1080"/>
      <c r="B639" s="1080"/>
      <c r="C639" s="1080"/>
      <c r="D639" s="1080"/>
      <c r="E639" s="1080"/>
      <c r="F639" s="1080"/>
      <c r="G639" s="1080"/>
      <c r="H639" s="1080"/>
      <c r="I639" s="1080"/>
      <c r="J639" s="1073"/>
      <c r="K639" s="308">
        <f t="shared" si="13"/>
        <v>0</v>
      </c>
      <c r="L639" s="308" t="str">
        <f t="shared" si="13"/>
        <v>кв.м.</v>
      </c>
      <c r="M639" s="310">
        <f t="shared" si="1"/>
        <v>0</v>
      </c>
      <c r="N639" s="683"/>
      <c r="O639" s="308"/>
      <c r="P639" s="1073"/>
      <c r="Q639" s="308">
        <f t="shared" si="8"/>
        <v>1022</v>
      </c>
      <c r="R639" s="308" t="str">
        <f t="shared" si="8"/>
        <v>кв.м.</v>
      </c>
      <c r="S639" s="684">
        <f t="shared" si="2"/>
        <v>0</v>
      </c>
      <c r="T639" s="683"/>
      <c r="U639" s="308"/>
      <c r="V639" s="1073"/>
      <c r="W639" s="308">
        <f t="shared" si="10"/>
        <v>1022</v>
      </c>
      <c r="X639" s="308" t="str">
        <f t="shared" si="10"/>
        <v>кв.м.</v>
      </c>
      <c r="Y639" s="310">
        <f t="shared" si="3"/>
        <v>0</v>
      </c>
      <c r="Z639" s="683"/>
      <c r="AA639" s="308"/>
      <c r="AB639" s="1073"/>
      <c r="AC639" s="308">
        <f t="shared" si="12"/>
        <v>0</v>
      </c>
      <c r="AD639" s="308" t="str">
        <f t="shared" si="12"/>
        <v>кв.м.</v>
      </c>
      <c r="AE639" s="310">
        <f t="shared" si="4"/>
        <v>0</v>
      </c>
      <c r="AF639" s="683"/>
      <c r="AG639" s="308"/>
      <c r="AH639" s="1073"/>
      <c r="AI639" s="308">
        <f t="shared" si="14"/>
        <v>0</v>
      </c>
      <c r="AJ639" s="308" t="str">
        <f t="shared" si="14"/>
        <v>кв.м.</v>
      </c>
      <c r="AK639" s="685">
        <f t="shared" si="5"/>
        <v>0</v>
      </c>
      <c r="AL639" s="683">
        <f t="shared" si="15"/>
        <v>0</v>
      </c>
      <c r="AM639" s="308">
        <f t="shared" si="15"/>
        <v>0</v>
      </c>
      <c r="AN639" s="1073"/>
      <c r="AO639" s="308">
        <f t="shared" si="16"/>
        <v>0</v>
      </c>
      <c r="AP639" s="308" t="str">
        <f t="shared" si="16"/>
        <v>кв.м.</v>
      </c>
      <c r="AQ639" s="685">
        <f t="shared" si="6"/>
        <v>0</v>
      </c>
      <c r="AR639" s="530"/>
    </row>
    <row r="640" spans="1:44" ht="24" customHeight="1">
      <c r="A640" s="1080"/>
      <c r="B640" s="1080"/>
      <c r="C640" s="1080"/>
      <c r="D640" s="1080"/>
      <c r="E640" s="1080"/>
      <c r="F640" s="1080"/>
      <c r="G640" s="1080"/>
      <c r="H640" s="1080"/>
      <c r="I640" s="1080"/>
      <c r="J640" s="1073" t="str">
        <f>J612</f>
        <v>строительство</v>
      </c>
      <c r="K640" s="308">
        <f t="shared" si="13"/>
        <v>0</v>
      </c>
      <c r="L640" s="308" t="str">
        <f t="shared" si="13"/>
        <v>км</v>
      </c>
      <c r="M640" s="310">
        <f t="shared" si="1"/>
        <v>0</v>
      </c>
      <c r="N640" s="683"/>
      <c r="O640" s="308"/>
      <c r="P640" s="1073" t="str">
        <f t="shared" ref="P640" si="23">P612</f>
        <v>строительство</v>
      </c>
      <c r="Q640" s="308">
        <f t="shared" si="8"/>
        <v>0.48</v>
      </c>
      <c r="R640" s="308" t="str">
        <f t="shared" si="8"/>
        <v>км</v>
      </c>
      <c r="S640" s="684">
        <f t="shared" si="2"/>
        <v>35000</v>
      </c>
      <c r="T640" s="683"/>
      <c r="U640" s="308"/>
      <c r="V640" s="1073" t="str">
        <f t="shared" ref="V640" si="24">V612</f>
        <v>строительство</v>
      </c>
      <c r="W640" s="308">
        <f t="shared" si="10"/>
        <v>0</v>
      </c>
      <c r="X640" s="308" t="str">
        <f t="shared" si="10"/>
        <v>км</v>
      </c>
      <c r="Y640" s="310">
        <f t="shared" si="3"/>
        <v>607242</v>
      </c>
      <c r="Z640" s="683"/>
      <c r="AA640" s="308"/>
      <c r="AB640" s="1073" t="str">
        <f t="shared" ref="AB640" si="25">AB612</f>
        <v>строительство</v>
      </c>
      <c r="AC640" s="308">
        <f t="shared" si="12"/>
        <v>1.3</v>
      </c>
      <c r="AD640" s="308" t="str">
        <f t="shared" si="12"/>
        <v>км</v>
      </c>
      <c r="AE640" s="310">
        <f t="shared" si="4"/>
        <v>823392.39999999991</v>
      </c>
      <c r="AF640" s="683"/>
      <c r="AG640" s="308"/>
      <c r="AH640" s="1073" t="str">
        <f>AH612</f>
        <v>строительство</v>
      </c>
      <c r="AI640" s="308">
        <f t="shared" si="14"/>
        <v>0</v>
      </c>
      <c r="AJ640" s="308" t="str">
        <f t="shared" si="14"/>
        <v>км</v>
      </c>
      <c r="AK640" s="685">
        <f t="shared" si="5"/>
        <v>0</v>
      </c>
      <c r="AL640" s="683">
        <f t="shared" si="15"/>
        <v>0</v>
      </c>
      <c r="AM640" s="308">
        <f t="shared" si="15"/>
        <v>0</v>
      </c>
      <c r="AN640" s="1073" t="str">
        <f>AN612</f>
        <v>строительство</v>
      </c>
      <c r="AO640" s="308">
        <f t="shared" si="16"/>
        <v>0</v>
      </c>
      <c r="AP640" s="308" t="str">
        <f t="shared" si="16"/>
        <v>км</v>
      </c>
      <c r="AQ640" s="685">
        <f t="shared" si="6"/>
        <v>0</v>
      </c>
      <c r="AR640" s="530"/>
    </row>
    <row r="641" spans="1:44" ht="24" customHeight="1">
      <c r="A641" s="1080"/>
      <c r="B641" s="1080"/>
      <c r="C641" s="1080"/>
      <c r="D641" s="1080"/>
      <c r="E641" s="1080"/>
      <c r="F641" s="1080"/>
      <c r="G641" s="1080"/>
      <c r="H641" s="1080"/>
      <c r="I641" s="1080"/>
      <c r="J641" s="1073"/>
      <c r="K641" s="308">
        <f t="shared" si="13"/>
        <v>0</v>
      </c>
      <c r="L641" s="308" t="str">
        <f t="shared" si="13"/>
        <v>кв.м.</v>
      </c>
      <c r="M641" s="308">
        <f t="shared" si="1"/>
        <v>0</v>
      </c>
      <c r="N641" s="683"/>
      <c r="O641" s="308"/>
      <c r="P641" s="1073"/>
      <c r="Q641" s="308">
        <f t="shared" si="8"/>
        <v>3839.9999999999995</v>
      </c>
      <c r="R641" s="308" t="str">
        <f t="shared" si="8"/>
        <v>кв.м.</v>
      </c>
      <c r="S641" s="332">
        <f t="shared" si="2"/>
        <v>0</v>
      </c>
      <c r="T641" s="683"/>
      <c r="U641" s="308"/>
      <c r="V641" s="1073"/>
      <c r="W641" s="308">
        <f t="shared" si="10"/>
        <v>0</v>
      </c>
      <c r="X641" s="308" t="str">
        <f t="shared" si="10"/>
        <v>кв.м.</v>
      </c>
      <c r="Y641" s="308">
        <f t="shared" si="3"/>
        <v>0</v>
      </c>
      <c r="Z641" s="683"/>
      <c r="AA641" s="308"/>
      <c r="AB641" s="1073"/>
      <c r="AC641" s="308">
        <f t="shared" si="12"/>
        <v>9800</v>
      </c>
      <c r="AD641" s="308" t="str">
        <f t="shared" si="12"/>
        <v>кв.м.</v>
      </c>
      <c r="AE641" s="308">
        <f t="shared" si="4"/>
        <v>0</v>
      </c>
      <c r="AF641" s="683"/>
      <c r="AG641" s="308"/>
      <c r="AH641" s="1073"/>
      <c r="AI641" s="308">
        <f t="shared" si="14"/>
        <v>0</v>
      </c>
      <c r="AJ641" s="308" t="str">
        <f t="shared" si="14"/>
        <v>кв.м.</v>
      </c>
      <c r="AK641" s="309">
        <f t="shared" si="5"/>
        <v>0</v>
      </c>
      <c r="AL641" s="683">
        <f t="shared" si="15"/>
        <v>0</v>
      </c>
      <c r="AM641" s="308">
        <f t="shared" si="15"/>
        <v>0</v>
      </c>
      <c r="AN641" s="1073"/>
      <c r="AO641" s="308">
        <f t="shared" si="16"/>
        <v>0</v>
      </c>
      <c r="AP641" s="308" t="str">
        <f t="shared" si="16"/>
        <v>кв.м.</v>
      </c>
      <c r="AQ641" s="309">
        <f t="shared" si="6"/>
        <v>0</v>
      </c>
      <c r="AR641" s="530"/>
    </row>
    <row r="642" spans="1:44" ht="56.25">
      <c r="A642" s="1080"/>
      <c r="B642" s="1080"/>
      <c r="C642" s="1080"/>
      <c r="D642" s="1080"/>
      <c r="E642" s="1080"/>
      <c r="F642" s="1080"/>
      <c r="G642" s="1080"/>
      <c r="H642" s="1080"/>
      <c r="I642" s="1080"/>
      <c r="J642" s="108" t="str">
        <f>J614</f>
        <v>устройство светофорных объектов</v>
      </c>
      <c r="K642" s="308">
        <f t="shared" si="13"/>
        <v>0</v>
      </c>
      <c r="L642" s="308" t="str">
        <f t="shared" si="13"/>
        <v>шт.</v>
      </c>
      <c r="M642" s="308">
        <f t="shared" si="1"/>
        <v>0</v>
      </c>
      <c r="N642" s="683"/>
      <c r="O642" s="308"/>
      <c r="P642" s="310" t="str">
        <f>P614</f>
        <v>устройство светофорных объектов</v>
      </c>
      <c r="Q642" s="308">
        <f t="shared" si="8"/>
        <v>79</v>
      </c>
      <c r="R642" s="308" t="str">
        <f t="shared" si="8"/>
        <v>шт.</v>
      </c>
      <c r="S642" s="332">
        <f t="shared" si="2"/>
        <v>66180</v>
      </c>
      <c r="T642" s="683"/>
      <c r="U642" s="308"/>
      <c r="V642" s="310" t="str">
        <f>V614</f>
        <v>устройство светофорных объектов</v>
      </c>
      <c r="W642" s="308">
        <f t="shared" si="10"/>
        <v>0</v>
      </c>
      <c r="X642" s="308" t="str">
        <f t="shared" si="10"/>
        <v>шт.</v>
      </c>
      <c r="Y642" s="308">
        <f t="shared" si="3"/>
        <v>0</v>
      </c>
      <c r="Z642" s="683"/>
      <c r="AA642" s="308"/>
      <c r="AB642" s="310" t="str">
        <f>AB614</f>
        <v>устройство светофорных объектов</v>
      </c>
      <c r="AC642" s="308">
        <f t="shared" si="12"/>
        <v>0</v>
      </c>
      <c r="AD642" s="308" t="str">
        <f t="shared" si="12"/>
        <v>шт.</v>
      </c>
      <c r="AE642" s="308">
        <f t="shared" si="4"/>
        <v>0</v>
      </c>
      <c r="AF642" s="683"/>
      <c r="AG642" s="308"/>
      <c r="AH642" s="310" t="str">
        <f>AH614</f>
        <v>устройство светофорных объектов</v>
      </c>
      <c r="AI642" s="308">
        <f t="shared" si="14"/>
        <v>0</v>
      </c>
      <c r="AJ642" s="308" t="str">
        <f t="shared" si="14"/>
        <v>шт.</v>
      </c>
      <c r="AK642" s="309">
        <f t="shared" si="5"/>
        <v>0</v>
      </c>
      <c r="AL642" s="683">
        <f t="shared" si="15"/>
        <v>0</v>
      </c>
      <c r="AM642" s="308">
        <f t="shared" si="15"/>
        <v>0</v>
      </c>
      <c r="AN642" s="310" t="str">
        <f>AN614</f>
        <v>устройство светофорных объектов</v>
      </c>
      <c r="AO642" s="308">
        <f t="shared" si="16"/>
        <v>0</v>
      </c>
      <c r="AP642" s="308" t="str">
        <f t="shared" si="16"/>
        <v>шт.</v>
      </c>
      <c r="AQ642" s="309">
        <f t="shared" si="6"/>
        <v>0</v>
      </c>
      <c r="AR642" s="530"/>
    </row>
    <row r="643" spans="1:44" ht="56.25">
      <c r="A643" s="1080"/>
      <c r="B643" s="1080"/>
      <c r="C643" s="1080"/>
      <c r="D643" s="1080"/>
      <c r="E643" s="1080"/>
      <c r="F643" s="1080"/>
      <c r="G643" s="1080"/>
      <c r="H643" s="1080"/>
      <c r="I643" s="1080"/>
      <c r="J643" s="108" t="str">
        <f t="shared" ref="J643:M649" si="26">J616</f>
        <v>установка дорожных знаков</v>
      </c>
      <c r="K643" s="308">
        <f t="shared" si="26"/>
        <v>0</v>
      </c>
      <c r="L643" s="308" t="str">
        <f t="shared" si="26"/>
        <v>шт.</v>
      </c>
      <c r="M643" s="308">
        <f t="shared" si="26"/>
        <v>0</v>
      </c>
      <c r="N643" s="683"/>
      <c r="O643" s="308"/>
      <c r="P643" s="310" t="str">
        <f t="shared" ref="P643:S649" si="27">P616</f>
        <v>установка дорожных знаков</v>
      </c>
      <c r="Q643" s="308">
        <f t="shared" si="27"/>
        <v>17</v>
      </c>
      <c r="R643" s="308" t="str">
        <f t="shared" si="27"/>
        <v>шт.</v>
      </c>
      <c r="S643" s="332">
        <f t="shared" si="27"/>
        <v>549</v>
      </c>
      <c r="T643" s="683"/>
      <c r="U643" s="308"/>
      <c r="V643" s="310" t="str">
        <f t="shared" ref="V643:Y649" si="28">V616</f>
        <v>установка дорожных знаков</v>
      </c>
      <c r="W643" s="308">
        <f t="shared" si="28"/>
        <v>0</v>
      </c>
      <c r="X643" s="308" t="str">
        <f t="shared" si="28"/>
        <v>шт.</v>
      </c>
      <c r="Y643" s="308">
        <f t="shared" si="28"/>
        <v>0</v>
      </c>
      <c r="Z643" s="683"/>
      <c r="AA643" s="308"/>
      <c r="AB643" s="310" t="str">
        <f t="shared" ref="AB643:AE649" si="29">AB616</f>
        <v>установка дорожных знаков</v>
      </c>
      <c r="AC643" s="308">
        <f t="shared" si="29"/>
        <v>43</v>
      </c>
      <c r="AD643" s="308" t="str">
        <f t="shared" si="29"/>
        <v>шт.</v>
      </c>
      <c r="AE643" s="308">
        <f t="shared" si="29"/>
        <v>2150</v>
      </c>
      <c r="AF643" s="683"/>
      <c r="AG643" s="308"/>
      <c r="AH643" s="310" t="str">
        <f t="shared" ref="AH643:AQ643" si="30">AH616</f>
        <v>установка дорожных знаков</v>
      </c>
      <c r="AI643" s="308">
        <f t="shared" si="30"/>
        <v>57</v>
      </c>
      <c r="AJ643" s="308" t="str">
        <f t="shared" si="30"/>
        <v>шт.</v>
      </c>
      <c r="AK643" s="309">
        <f t="shared" si="30"/>
        <v>2850</v>
      </c>
      <c r="AL643" s="683">
        <f t="shared" si="30"/>
        <v>0</v>
      </c>
      <c r="AM643" s="308">
        <f t="shared" si="30"/>
        <v>0</v>
      </c>
      <c r="AN643" s="310" t="str">
        <f t="shared" si="30"/>
        <v>установка дорожных знаков</v>
      </c>
      <c r="AO643" s="308">
        <f t="shared" si="30"/>
        <v>43</v>
      </c>
      <c r="AP643" s="308" t="str">
        <f t="shared" si="30"/>
        <v>шт.</v>
      </c>
      <c r="AQ643" s="309">
        <f t="shared" si="30"/>
        <v>2150</v>
      </c>
      <c r="AR643" s="530"/>
    </row>
    <row r="644" spans="1:44" ht="56.25">
      <c r="A644" s="1080"/>
      <c r="B644" s="1080"/>
      <c r="C644" s="1080"/>
      <c r="D644" s="1080"/>
      <c r="E644" s="1080"/>
      <c r="F644" s="1080"/>
      <c r="G644" s="1080"/>
      <c r="H644" s="1080"/>
      <c r="I644" s="1080"/>
      <c r="J644" s="108" t="str">
        <f t="shared" si="26"/>
        <v>установка барьерного ограждения</v>
      </c>
      <c r="K644" s="308">
        <f t="shared" si="26"/>
        <v>352</v>
      </c>
      <c r="L644" s="308" t="str">
        <f t="shared" si="26"/>
        <v>пог.м.</v>
      </c>
      <c r="M644" s="308">
        <f t="shared" si="26"/>
        <v>653.09759000000008</v>
      </c>
      <c r="N644" s="683"/>
      <c r="O644" s="308"/>
      <c r="P644" s="310" t="str">
        <f t="shared" si="27"/>
        <v>установка барьерного ограждения</v>
      </c>
      <c r="Q644" s="308">
        <f t="shared" si="27"/>
        <v>0</v>
      </c>
      <c r="R644" s="308" t="str">
        <f t="shared" si="27"/>
        <v>пог.м.</v>
      </c>
      <c r="S644" s="332">
        <f t="shared" si="27"/>
        <v>0</v>
      </c>
      <c r="T644" s="683"/>
      <c r="U644" s="308"/>
      <c r="V644" s="310" t="str">
        <f t="shared" si="28"/>
        <v>установка барьерного ограждения</v>
      </c>
      <c r="W644" s="308">
        <f t="shared" si="28"/>
        <v>0</v>
      </c>
      <c r="X644" s="308" t="str">
        <f t="shared" si="28"/>
        <v>пог.м.</v>
      </c>
      <c r="Y644" s="308">
        <f t="shared" si="28"/>
        <v>0</v>
      </c>
      <c r="Z644" s="683"/>
      <c r="AA644" s="308"/>
      <c r="AB644" s="310" t="str">
        <f t="shared" si="29"/>
        <v>установка барьерного ограждения</v>
      </c>
      <c r="AC644" s="308">
        <f t="shared" si="29"/>
        <v>0</v>
      </c>
      <c r="AD644" s="308" t="str">
        <f t="shared" si="29"/>
        <v>пог.м.</v>
      </c>
      <c r="AE644" s="308">
        <f t="shared" si="29"/>
        <v>0</v>
      </c>
      <c r="AF644" s="683"/>
      <c r="AG644" s="308"/>
      <c r="AH644" s="310" t="str">
        <f t="shared" ref="AH644:AQ644" si="31">AH617</f>
        <v>установка барьерного ограждения</v>
      </c>
      <c r="AI644" s="308">
        <f t="shared" si="31"/>
        <v>0</v>
      </c>
      <c r="AJ644" s="308" t="str">
        <f t="shared" si="31"/>
        <v>пог.м.</v>
      </c>
      <c r="AK644" s="309">
        <f t="shared" si="31"/>
        <v>0</v>
      </c>
      <c r="AL644" s="683">
        <f t="shared" si="31"/>
        <v>0</v>
      </c>
      <c r="AM644" s="308">
        <f t="shared" si="31"/>
        <v>0</v>
      </c>
      <c r="AN644" s="310" t="str">
        <f t="shared" si="31"/>
        <v>установка барьерного ограждения</v>
      </c>
      <c r="AO644" s="308">
        <f t="shared" si="31"/>
        <v>0</v>
      </c>
      <c r="AP644" s="308" t="str">
        <f t="shared" si="31"/>
        <v>пог.м.</v>
      </c>
      <c r="AQ644" s="309">
        <f t="shared" si="31"/>
        <v>0</v>
      </c>
      <c r="AR644" s="530"/>
    </row>
    <row r="645" spans="1:44" ht="37.5">
      <c r="A645" s="1080"/>
      <c r="B645" s="1080"/>
      <c r="C645" s="1080"/>
      <c r="D645" s="1080"/>
      <c r="E645" s="1080"/>
      <c r="F645" s="1080"/>
      <c r="G645" s="1080"/>
      <c r="H645" s="1080"/>
      <c r="I645" s="1080"/>
      <c r="J645" s="108" t="str">
        <f t="shared" si="26"/>
        <v>устройство освещения</v>
      </c>
      <c r="K645" s="308">
        <f t="shared" si="26"/>
        <v>0</v>
      </c>
      <c r="L645" s="308" t="str">
        <f t="shared" si="26"/>
        <v>пог.м.</v>
      </c>
      <c r="M645" s="308">
        <f t="shared" si="26"/>
        <v>0</v>
      </c>
      <c r="N645" s="683"/>
      <c r="O645" s="308"/>
      <c r="P645" s="310" t="str">
        <f t="shared" si="27"/>
        <v>устройство освещения</v>
      </c>
      <c r="Q645" s="308">
        <f t="shared" si="27"/>
        <v>0</v>
      </c>
      <c r="R645" s="308" t="str">
        <f t="shared" si="27"/>
        <v>пог.м.</v>
      </c>
      <c r="S645" s="332">
        <f t="shared" si="27"/>
        <v>0</v>
      </c>
      <c r="T645" s="683"/>
      <c r="U645" s="308"/>
      <c r="V645" s="310" t="str">
        <f t="shared" si="28"/>
        <v>устройство освещения</v>
      </c>
      <c r="W645" s="308">
        <f t="shared" si="28"/>
        <v>0</v>
      </c>
      <c r="X645" s="308" t="str">
        <f t="shared" si="28"/>
        <v>пог.м.</v>
      </c>
      <c r="Y645" s="308">
        <f t="shared" si="28"/>
        <v>0</v>
      </c>
      <c r="Z645" s="683"/>
      <c r="AA645" s="308"/>
      <c r="AB645" s="310" t="str">
        <f t="shared" si="29"/>
        <v>устройство освещения</v>
      </c>
      <c r="AC645" s="308">
        <f t="shared" si="29"/>
        <v>0</v>
      </c>
      <c r="AD645" s="308" t="str">
        <f t="shared" si="29"/>
        <v>пог.м.</v>
      </c>
      <c r="AE645" s="308">
        <f t="shared" si="29"/>
        <v>0</v>
      </c>
      <c r="AF645" s="683"/>
      <c r="AG645" s="308"/>
      <c r="AH645" s="310" t="str">
        <f t="shared" ref="AH645:AQ645" si="32">AH618</f>
        <v>устройство освещения</v>
      </c>
      <c r="AI645" s="308">
        <f t="shared" si="32"/>
        <v>0</v>
      </c>
      <c r="AJ645" s="308" t="str">
        <f t="shared" si="32"/>
        <v>пог.м.</v>
      </c>
      <c r="AK645" s="309">
        <f t="shared" si="32"/>
        <v>0</v>
      </c>
      <c r="AL645" s="683">
        <f t="shared" si="32"/>
        <v>0</v>
      </c>
      <c r="AM645" s="308">
        <f t="shared" si="32"/>
        <v>0</v>
      </c>
      <c r="AN645" s="310" t="str">
        <f t="shared" si="32"/>
        <v>устройство освещения</v>
      </c>
      <c r="AO645" s="308">
        <f t="shared" si="32"/>
        <v>0</v>
      </c>
      <c r="AP645" s="308" t="str">
        <f t="shared" si="32"/>
        <v>пог.м.</v>
      </c>
      <c r="AQ645" s="309">
        <f t="shared" si="32"/>
        <v>0</v>
      </c>
      <c r="AR645" s="530"/>
    </row>
    <row r="646" spans="1:44" ht="56.25">
      <c r="A646" s="1080"/>
      <c r="B646" s="1080"/>
      <c r="C646" s="1080"/>
      <c r="D646" s="1080"/>
      <c r="E646" s="1080"/>
      <c r="F646" s="1080"/>
      <c r="G646" s="1080"/>
      <c r="H646" s="1080"/>
      <c r="I646" s="1080"/>
      <c r="J646" s="108" t="str">
        <f t="shared" si="26"/>
        <v>установка направляющих устройств</v>
      </c>
      <c r="K646" s="308">
        <f t="shared" si="26"/>
        <v>0</v>
      </c>
      <c r="L646" s="308" t="str">
        <f t="shared" si="26"/>
        <v>пог.м.</v>
      </c>
      <c r="M646" s="308">
        <f t="shared" si="26"/>
        <v>0</v>
      </c>
      <c r="N646" s="683"/>
      <c r="O646" s="308"/>
      <c r="P646" s="310" t="str">
        <f t="shared" si="27"/>
        <v>установка направляющих устройств</v>
      </c>
      <c r="Q646" s="308">
        <f t="shared" si="27"/>
        <v>0</v>
      </c>
      <c r="R646" s="308" t="str">
        <f t="shared" si="27"/>
        <v>пог.м.</v>
      </c>
      <c r="S646" s="332">
        <f t="shared" si="27"/>
        <v>0</v>
      </c>
      <c r="T646" s="683"/>
      <c r="U646" s="308"/>
      <c r="V646" s="310" t="str">
        <f t="shared" si="28"/>
        <v>установка направляющих устройств</v>
      </c>
      <c r="W646" s="308">
        <f t="shared" si="28"/>
        <v>0</v>
      </c>
      <c r="X646" s="308" t="str">
        <f t="shared" si="28"/>
        <v>пог.м.</v>
      </c>
      <c r="Y646" s="308">
        <f t="shared" si="28"/>
        <v>0</v>
      </c>
      <c r="Z646" s="683"/>
      <c r="AA646" s="308"/>
      <c r="AB646" s="310" t="str">
        <f t="shared" si="29"/>
        <v>установка направляющих устройств</v>
      </c>
      <c r="AC646" s="308">
        <f t="shared" si="29"/>
        <v>0</v>
      </c>
      <c r="AD646" s="308" t="str">
        <f t="shared" si="29"/>
        <v>пог.м.</v>
      </c>
      <c r="AE646" s="308">
        <f t="shared" si="29"/>
        <v>0</v>
      </c>
      <c r="AF646" s="683"/>
      <c r="AG646" s="308"/>
      <c r="AH646" s="310" t="str">
        <f t="shared" ref="AH646:AQ646" si="33">AH619</f>
        <v>установка направляющих устройств</v>
      </c>
      <c r="AI646" s="308">
        <f t="shared" si="33"/>
        <v>0</v>
      </c>
      <c r="AJ646" s="308" t="str">
        <f t="shared" si="33"/>
        <v>пог.м.</v>
      </c>
      <c r="AK646" s="309">
        <f t="shared" si="33"/>
        <v>0</v>
      </c>
      <c r="AL646" s="683">
        <f t="shared" si="33"/>
        <v>0</v>
      </c>
      <c r="AM646" s="308">
        <f t="shared" si="33"/>
        <v>0</v>
      </c>
      <c r="AN646" s="310" t="str">
        <f t="shared" si="33"/>
        <v>установка направляющих устройств</v>
      </c>
      <c r="AO646" s="308">
        <f t="shared" si="33"/>
        <v>0</v>
      </c>
      <c r="AP646" s="308" t="str">
        <f t="shared" si="33"/>
        <v>пог.м.</v>
      </c>
      <c r="AQ646" s="309">
        <f t="shared" si="33"/>
        <v>0</v>
      </c>
      <c r="AR646" s="530"/>
    </row>
    <row r="647" spans="1:44" ht="37.5">
      <c r="A647" s="1080"/>
      <c r="B647" s="1080"/>
      <c r="C647" s="1080"/>
      <c r="D647" s="1080"/>
      <c r="E647" s="1080"/>
      <c r="F647" s="1080"/>
      <c r="G647" s="1080"/>
      <c r="H647" s="1080"/>
      <c r="I647" s="1080"/>
      <c r="J647" s="108" t="str">
        <f t="shared" si="26"/>
        <v>укладка слоев износа</v>
      </c>
      <c r="K647" s="308">
        <f t="shared" si="26"/>
        <v>0</v>
      </c>
      <c r="L647" s="308" t="str">
        <f t="shared" si="26"/>
        <v>кв.м.</v>
      </c>
      <c r="M647" s="308">
        <f t="shared" si="26"/>
        <v>0</v>
      </c>
      <c r="N647" s="683"/>
      <c r="O647" s="308"/>
      <c r="P647" s="310" t="str">
        <f t="shared" si="27"/>
        <v>укладка слоев износа</v>
      </c>
      <c r="Q647" s="308">
        <f t="shared" si="27"/>
        <v>0</v>
      </c>
      <c r="R647" s="308" t="str">
        <f t="shared" si="27"/>
        <v>кв.м.</v>
      </c>
      <c r="S647" s="332">
        <f t="shared" si="27"/>
        <v>0</v>
      </c>
      <c r="T647" s="683"/>
      <c r="U647" s="308"/>
      <c r="V647" s="310" t="str">
        <f t="shared" si="28"/>
        <v>укладка слоев износа</v>
      </c>
      <c r="W647" s="308">
        <f t="shared" si="28"/>
        <v>0</v>
      </c>
      <c r="X647" s="308" t="str">
        <f t="shared" si="28"/>
        <v>кв.м.</v>
      </c>
      <c r="Y647" s="308">
        <f t="shared" si="28"/>
        <v>45600</v>
      </c>
      <c r="Z647" s="683"/>
      <c r="AA647" s="308"/>
      <c r="AB647" s="310" t="str">
        <f t="shared" si="29"/>
        <v>укладка слоев износа</v>
      </c>
      <c r="AC647" s="308">
        <f t="shared" si="29"/>
        <v>40</v>
      </c>
      <c r="AD647" s="308" t="str">
        <f t="shared" si="29"/>
        <v>кв.м.</v>
      </c>
      <c r="AE647" s="308">
        <f t="shared" si="29"/>
        <v>12998.4</v>
      </c>
      <c r="AF647" s="683"/>
      <c r="AG647" s="308"/>
      <c r="AH647" s="310" t="str">
        <f t="shared" ref="AH647:AQ647" si="34">AH620</f>
        <v>укладка слоев износа</v>
      </c>
      <c r="AI647" s="308">
        <f t="shared" si="34"/>
        <v>0</v>
      </c>
      <c r="AJ647" s="308" t="str">
        <f t="shared" si="34"/>
        <v>кв.м.</v>
      </c>
      <c r="AK647" s="309">
        <f t="shared" si="34"/>
        <v>984577.5</v>
      </c>
      <c r="AL647" s="683">
        <f t="shared" si="34"/>
        <v>0</v>
      </c>
      <c r="AM647" s="308">
        <f t="shared" si="34"/>
        <v>0</v>
      </c>
      <c r="AN647" s="310" t="str">
        <f t="shared" si="34"/>
        <v>укладка слоев износа</v>
      </c>
      <c r="AO647" s="308">
        <f t="shared" si="34"/>
        <v>10.152214411498287</v>
      </c>
      <c r="AP647" s="308" t="str">
        <f t="shared" si="34"/>
        <v>кв.м.</v>
      </c>
      <c r="AQ647" s="309">
        <f t="shared" si="34"/>
        <v>971052.2</v>
      </c>
      <c r="AR647" s="530"/>
    </row>
    <row r="648" spans="1:44" ht="56.25">
      <c r="A648" s="1080"/>
      <c r="B648" s="1080"/>
      <c r="C648" s="1080"/>
      <c r="D648" s="1080"/>
      <c r="E648" s="1080"/>
      <c r="F648" s="1080"/>
      <c r="G648" s="1080"/>
      <c r="H648" s="1080"/>
      <c r="I648" s="1080"/>
      <c r="J648" s="108" t="str">
        <f t="shared" si="26"/>
        <v>шероховатая поверхностная обработка</v>
      </c>
      <c r="K648" s="308">
        <f t="shared" si="26"/>
        <v>0</v>
      </c>
      <c r="L648" s="308" t="str">
        <f t="shared" si="26"/>
        <v>кв.м.</v>
      </c>
      <c r="M648" s="308">
        <f t="shared" si="26"/>
        <v>0</v>
      </c>
      <c r="N648" s="683"/>
      <c r="O648" s="308"/>
      <c r="P648" s="310" t="str">
        <f t="shared" si="27"/>
        <v>шероховатая поверхностная обработка</v>
      </c>
      <c r="Q648" s="308">
        <f t="shared" si="27"/>
        <v>0</v>
      </c>
      <c r="R648" s="308" t="str">
        <f t="shared" si="27"/>
        <v>кв.м.</v>
      </c>
      <c r="S648" s="332">
        <f t="shared" si="27"/>
        <v>0</v>
      </c>
      <c r="T648" s="683"/>
      <c r="U648" s="308"/>
      <c r="V648" s="310" t="str">
        <f t="shared" si="28"/>
        <v>шероховатая поверхностная обработка</v>
      </c>
      <c r="W648" s="308">
        <f t="shared" si="28"/>
        <v>0</v>
      </c>
      <c r="X648" s="308" t="str">
        <f t="shared" si="28"/>
        <v>кв.м.</v>
      </c>
      <c r="Y648" s="308">
        <f t="shared" si="28"/>
        <v>0</v>
      </c>
      <c r="Z648" s="683"/>
      <c r="AA648" s="308"/>
      <c r="AB648" s="310" t="str">
        <f t="shared" si="29"/>
        <v>шероховатая поверхностная обработка</v>
      </c>
      <c r="AC648" s="308">
        <f t="shared" si="29"/>
        <v>0</v>
      </c>
      <c r="AD648" s="308" t="str">
        <f t="shared" si="29"/>
        <v>кв.м.</v>
      </c>
      <c r="AE648" s="308">
        <f t="shared" si="29"/>
        <v>0</v>
      </c>
      <c r="AF648" s="683"/>
      <c r="AG648" s="308"/>
      <c r="AH648" s="310" t="str">
        <f t="shared" ref="AH648:AQ648" si="35">AH621</f>
        <v>шероховатая поверхностная обработка</v>
      </c>
      <c r="AI648" s="308">
        <f t="shared" si="35"/>
        <v>0</v>
      </c>
      <c r="AJ648" s="308" t="str">
        <f t="shared" si="35"/>
        <v>кв.м.</v>
      </c>
      <c r="AK648" s="309">
        <f t="shared" si="35"/>
        <v>0</v>
      </c>
      <c r="AL648" s="683">
        <f t="shared" si="35"/>
        <v>0</v>
      </c>
      <c r="AM648" s="308">
        <f t="shared" si="35"/>
        <v>0</v>
      </c>
      <c r="AN648" s="310" t="str">
        <f t="shared" si="35"/>
        <v>шероховатая поверхностная обработка</v>
      </c>
      <c r="AO648" s="308">
        <f t="shared" si="35"/>
        <v>0</v>
      </c>
      <c r="AP648" s="308" t="str">
        <f t="shared" si="35"/>
        <v>кв.м.</v>
      </c>
      <c r="AQ648" s="309">
        <f t="shared" si="35"/>
        <v>0</v>
      </c>
      <c r="AR648" s="530"/>
    </row>
    <row r="649" spans="1:44" ht="37.5">
      <c r="A649" s="1080"/>
      <c r="B649" s="1080"/>
      <c r="C649" s="1080"/>
      <c r="D649" s="1080"/>
      <c r="E649" s="1080"/>
      <c r="F649" s="1080"/>
      <c r="G649" s="1080"/>
      <c r="H649" s="1080"/>
      <c r="I649" s="1080"/>
      <c r="J649" s="108" t="str">
        <f t="shared" si="26"/>
        <v>иные виды работ</v>
      </c>
      <c r="K649" s="308">
        <f t="shared" si="26"/>
        <v>0</v>
      </c>
      <c r="L649" s="308" t="str">
        <f t="shared" si="26"/>
        <v>км, кв.м., пог.м., шт</v>
      </c>
      <c r="M649" s="308">
        <f t="shared" si="26"/>
        <v>1450.14678</v>
      </c>
      <c r="N649" s="683"/>
      <c r="O649" s="308"/>
      <c r="P649" s="310" t="str">
        <f t="shared" si="27"/>
        <v>иные виды работ</v>
      </c>
      <c r="Q649" s="308">
        <f t="shared" si="27"/>
        <v>0</v>
      </c>
      <c r="R649" s="308" t="str">
        <f t="shared" si="27"/>
        <v>км, кв.м., пог.м., шт</v>
      </c>
      <c r="S649" s="332">
        <f t="shared" si="27"/>
        <v>0</v>
      </c>
      <c r="T649" s="683"/>
      <c r="U649" s="308"/>
      <c r="V649" s="310" t="str">
        <f t="shared" si="28"/>
        <v>иные виды работ</v>
      </c>
      <c r="W649" s="308">
        <f t="shared" si="28"/>
        <v>0</v>
      </c>
      <c r="X649" s="308" t="str">
        <f t="shared" si="28"/>
        <v>км, кв.м., пог.м., шт</v>
      </c>
      <c r="Y649" s="308">
        <f t="shared" si="28"/>
        <v>900</v>
      </c>
      <c r="Z649" s="683"/>
      <c r="AA649" s="308"/>
      <c r="AB649" s="310" t="str">
        <f t="shared" si="29"/>
        <v>иные виды работ</v>
      </c>
      <c r="AC649" s="308">
        <f t="shared" si="29"/>
        <v>0</v>
      </c>
      <c r="AD649" s="308" t="str">
        <f t="shared" si="29"/>
        <v>км, кв.м., пог.м., шт</v>
      </c>
      <c r="AE649" s="308">
        <f t="shared" si="29"/>
        <v>1100</v>
      </c>
      <c r="AF649" s="683"/>
      <c r="AG649" s="308"/>
      <c r="AH649" s="310" t="str">
        <f t="shared" ref="AH649:AQ649" si="36">AH622</f>
        <v>иные виды работ</v>
      </c>
      <c r="AI649" s="308">
        <f t="shared" si="36"/>
        <v>0</v>
      </c>
      <c r="AJ649" s="308" t="str">
        <f t="shared" si="36"/>
        <v>км, кв.м., пог.м., шт</v>
      </c>
      <c r="AK649" s="309">
        <f t="shared" si="36"/>
        <v>1100</v>
      </c>
      <c r="AL649" s="683">
        <f t="shared" si="36"/>
        <v>0</v>
      </c>
      <c r="AM649" s="308">
        <f t="shared" si="36"/>
        <v>0</v>
      </c>
      <c r="AN649" s="310" t="str">
        <f t="shared" si="36"/>
        <v>иные виды работ</v>
      </c>
      <c r="AO649" s="308">
        <f t="shared" si="36"/>
        <v>0</v>
      </c>
      <c r="AP649" s="308" t="str">
        <f t="shared" si="36"/>
        <v>км, кв.м., пог.м., шт</v>
      </c>
      <c r="AQ649" s="309">
        <f t="shared" si="36"/>
        <v>1100</v>
      </c>
      <c r="AR649" s="530"/>
    </row>
    <row r="650" spans="1:44" ht="69.75" customHeight="1">
      <c r="A650" s="1083" t="s">
        <v>472</v>
      </c>
      <c r="B650" s="1083"/>
      <c r="C650" s="1083"/>
      <c r="D650" s="1083"/>
      <c r="E650" s="1083"/>
      <c r="F650" s="1083"/>
      <c r="G650" s="1083"/>
      <c r="H650" s="1083"/>
      <c r="I650" s="1083"/>
      <c r="J650" s="145"/>
      <c r="K650" s="145"/>
      <c r="L650" s="145"/>
      <c r="M650" s="145"/>
      <c r="N650" s="145"/>
      <c r="O650" s="145"/>
      <c r="P650" s="145"/>
      <c r="Q650" s="145"/>
      <c r="R650" s="145"/>
      <c r="S650" s="686"/>
      <c r="T650" s="145"/>
      <c r="U650" s="145"/>
      <c r="V650" s="145"/>
      <c r="W650" s="145"/>
      <c r="X650" s="145"/>
      <c r="Y650" s="145"/>
      <c r="Z650" s="145"/>
      <c r="AA650" s="145"/>
      <c r="AB650" s="145"/>
      <c r="AC650" s="145"/>
      <c r="AD650" s="145"/>
      <c r="AE650" s="145"/>
      <c r="AF650" s="145"/>
      <c r="AG650" s="145"/>
      <c r="AH650" s="145"/>
      <c r="AI650" s="145"/>
      <c r="AJ650" s="145"/>
      <c r="AK650" s="149"/>
      <c r="AL650" s="145"/>
      <c r="AM650" s="145"/>
      <c r="AN650" s="145"/>
      <c r="AO650" s="145"/>
      <c r="AP650" s="145"/>
      <c r="AQ650" s="149"/>
      <c r="AR650" s="530"/>
    </row>
    <row r="651" spans="1:44" ht="18.75">
      <c r="A651" s="15">
        <v>1</v>
      </c>
      <c r="B651" s="16"/>
      <c r="C651" s="15"/>
      <c r="D651" s="110"/>
      <c r="E651" s="15"/>
      <c r="F651" s="111"/>
      <c r="G651" s="15"/>
      <c r="H651" s="15"/>
      <c r="I651" s="15"/>
      <c r="J651" s="15"/>
      <c r="K651" s="112"/>
      <c r="L651" s="15"/>
      <c r="M651" s="15"/>
      <c r="N651" s="15"/>
      <c r="O651" s="15"/>
      <c r="P651" s="15"/>
      <c r="Q651" s="15"/>
      <c r="R651" s="15"/>
      <c r="S651" s="46"/>
      <c r="T651" s="546"/>
      <c r="U651" s="549"/>
      <c r="V651" s="536"/>
      <c r="W651" s="536"/>
      <c r="X651" s="536"/>
      <c r="Y651" s="549"/>
      <c r="Z651" s="549"/>
      <c r="AA651" s="546"/>
      <c r="AB651" s="549"/>
      <c r="AC651" s="536"/>
      <c r="AD651" s="536"/>
      <c r="AE651" s="536"/>
      <c r="AF651" s="549"/>
      <c r="AG651" s="85"/>
      <c r="AH651" s="12"/>
      <c r="AI651" s="12"/>
      <c r="AJ651" s="12"/>
      <c r="AK651" s="113"/>
      <c r="AL651" s="12"/>
      <c r="AM651" s="12"/>
      <c r="AN651" s="12"/>
      <c r="AO651" s="12"/>
      <c r="AP651" s="12"/>
      <c r="AQ651" s="113"/>
      <c r="AR651" s="530"/>
    </row>
    <row r="652" spans="1:44" ht="18.75">
      <c r="A652" s="15">
        <v>2</v>
      </c>
      <c r="B652" s="16"/>
      <c r="C652" s="15"/>
      <c r="D652" s="110"/>
      <c r="E652" s="15"/>
      <c r="F652" s="111"/>
      <c r="G652" s="15"/>
      <c r="H652" s="15"/>
      <c r="I652" s="15"/>
      <c r="J652" s="15"/>
      <c r="K652" s="112"/>
      <c r="L652" s="15"/>
      <c r="M652" s="15"/>
      <c r="N652" s="15"/>
      <c r="O652" s="15"/>
      <c r="P652" s="15"/>
      <c r="Q652" s="15"/>
      <c r="R652" s="15"/>
      <c r="S652" s="46"/>
      <c r="T652" s="546"/>
      <c r="U652" s="549"/>
      <c r="V652" s="536"/>
      <c r="W652" s="536"/>
      <c r="X652" s="536"/>
      <c r="Y652" s="549"/>
      <c r="Z652" s="549"/>
      <c r="AA652" s="546"/>
      <c r="AB652" s="549"/>
      <c r="AC652" s="536"/>
      <c r="AD652" s="536"/>
      <c r="AE652" s="536"/>
      <c r="AF652" s="549"/>
      <c r="AG652" s="85"/>
      <c r="AH652" s="12"/>
      <c r="AI652" s="12"/>
      <c r="AJ652" s="12"/>
      <c r="AK652" s="113"/>
      <c r="AL652" s="12"/>
      <c r="AM652" s="12"/>
      <c r="AN652" s="12"/>
      <c r="AO652" s="12"/>
      <c r="AP652" s="12"/>
      <c r="AQ652" s="113"/>
      <c r="AR652" s="530"/>
    </row>
    <row r="653" spans="1:44" ht="18.75">
      <c r="A653" s="15">
        <v>3</v>
      </c>
      <c r="B653" s="16"/>
      <c r="C653" s="15"/>
      <c r="D653" s="110"/>
      <c r="E653" s="15"/>
      <c r="F653" s="111"/>
      <c r="G653" s="15"/>
      <c r="H653" s="15"/>
      <c r="I653" s="15"/>
      <c r="J653" s="15"/>
      <c r="K653" s="112"/>
      <c r="L653" s="15"/>
      <c r="M653" s="15"/>
      <c r="N653" s="15"/>
      <c r="O653" s="15"/>
      <c r="P653" s="15"/>
      <c r="Q653" s="15"/>
      <c r="R653" s="15"/>
      <c r="S653" s="46"/>
      <c r="T653" s="546"/>
      <c r="U653" s="549"/>
      <c r="V653" s="536"/>
      <c r="W653" s="536"/>
      <c r="X653" s="536"/>
      <c r="Y653" s="549"/>
      <c r="Z653" s="549"/>
      <c r="AA653" s="546"/>
      <c r="AB653" s="549"/>
      <c r="AC653" s="536"/>
      <c r="AD653" s="536"/>
      <c r="AE653" s="536"/>
      <c r="AF653" s="549"/>
      <c r="AG653" s="549"/>
      <c r="AH653" s="546"/>
      <c r="AI653" s="549"/>
      <c r="AJ653" s="536"/>
      <c r="AK653" s="538"/>
      <c r="AL653" s="549"/>
      <c r="AM653" s="549"/>
      <c r="AN653" s="546"/>
      <c r="AO653" s="549"/>
      <c r="AP653" s="536"/>
      <c r="AQ653" s="538"/>
      <c r="AR653" s="530"/>
    </row>
    <row r="654" spans="1:44" ht="29.25" customHeight="1">
      <c r="A654" s="1078" t="s">
        <v>473</v>
      </c>
      <c r="B654" s="1078"/>
      <c r="C654" s="1078"/>
      <c r="D654" s="1078"/>
      <c r="E654" s="1078"/>
      <c r="F654" s="1078"/>
      <c r="G654" s="1078"/>
      <c r="H654" s="1078"/>
      <c r="I654" s="1078"/>
      <c r="J654" s="114"/>
      <c r="K654" s="115"/>
      <c r="L654" s="114"/>
      <c r="M654" s="114"/>
      <c r="N654" s="114"/>
      <c r="O654" s="114"/>
      <c r="P654" s="114"/>
      <c r="Q654" s="114"/>
      <c r="R654" s="114"/>
      <c r="S654" s="333"/>
      <c r="T654" s="114"/>
      <c r="U654" s="114"/>
      <c r="V654" s="114"/>
      <c r="W654" s="114"/>
      <c r="X654" s="114"/>
      <c r="Y654" s="114"/>
      <c r="Z654" s="114"/>
      <c r="AA654" s="114"/>
      <c r="AB654" s="114"/>
      <c r="AC654" s="114"/>
      <c r="AD654" s="114"/>
      <c r="AE654" s="114"/>
      <c r="AF654" s="114"/>
      <c r="AG654" s="114"/>
      <c r="AH654" s="114"/>
      <c r="AI654" s="114"/>
      <c r="AJ654" s="114"/>
      <c r="AK654" s="116"/>
      <c r="AL654" s="114"/>
      <c r="AM654" s="114"/>
      <c r="AN654" s="114"/>
      <c r="AO654" s="114"/>
      <c r="AP654" s="114"/>
      <c r="AQ654" s="116"/>
      <c r="AR654" s="530"/>
    </row>
    <row r="655" spans="1:44" ht="18.75">
      <c r="A655" s="1079" t="s">
        <v>474</v>
      </c>
      <c r="B655" s="1079"/>
      <c r="C655" s="1079"/>
      <c r="D655" s="1079"/>
      <c r="E655" s="1079"/>
      <c r="F655" s="1079"/>
      <c r="G655" s="1079"/>
      <c r="H655" s="1079"/>
      <c r="I655" s="1079"/>
      <c r="J655" s="1070" t="s">
        <v>114</v>
      </c>
      <c r="K655" s="117"/>
      <c r="L655" s="118" t="s">
        <v>17</v>
      </c>
      <c r="M655" s="118"/>
      <c r="N655" s="687"/>
      <c r="O655" s="118"/>
      <c r="P655" s="1070" t="s">
        <v>114</v>
      </c>
      <c r="Q655" s="118"/>
      <c r="R655" s="118" t="s">
        <v>17</v>
      </c>
      <c r="S655" s="334"/>
      <c r="T655" s="687"/>
      <c r="U655" s="118"/>
      <c r="V655" s="1070" t="s">
        <v>114</v>
      </c>
      <c r="W655" s="118"/>
      <c r="X655" s="118" t="s">
        <v>17</v>
      </c>
      <c r="Y655" s="118"/>
      <c r="Z655" s="687"/>
      <c r="AA655" s="118"/>
      <c r="AB655" s="1070" t="s">
        <v>114</v>
      </c>
      <c r="AC655" s="118"/>
      <c r="AD655" s="118" t="s">
        <v>17</v>
      </c>
      <c r="AE655" s="118"/>
      <c r="AF655" s="687"/>
      <c r="AG655" s="118"/>
      <c r="AH655" s="1070" t="s">
        <v>114</v>
      </c>
      <c r="AI655" s="118"/>
      <c r="AJ655" s="118" t="s">
        <v>17</v>
      </c>
      <c r="AK655" s="121"/>
      <c r="AL655" s="687"/>
      <c r="AM655" s="118"/>
      <c r="AN655" s="1070" t="s">
        <v>114</v>
      </c>
      <c r="AO655" s="118"/>
      <c r="AP655" s="118" t="s">
        <v>17</v>
      </c>
      <c r="AQ655" s="121"/>
      <c r="AR655" s="530"/>
    </row>
    <row r="656" spans="1:44" ht="18.75">
      <c r="A656" s="1079"/>
      <c r="B656" s="1079"/>
      <c r="C656" s="1079"/>
      <c r="D656" s="1079"/>
      <c r="E656" s="1079"/>
      <c r="F656" s="1079"/>
      <c r="G656" s="1079"/>
      <c r="H656" s="1079"/>
      <c r="I656" s="1079"/>
      <c r="J656" s="1070"/>
      <c r="K656" s="117"/>
      <c r="L656" s="118" t="s">
        <v>32</v>
      </c>
      <c r="M656" s="118"/>
      <c r="N656" s="687"/>
      <c r="O656" s="118"/>
      <c r="P656" s="1070"/>
      <c r="Q656" s="118"/>
      <c r="R656" s="118" t="s">
        <v>32</v>
      </c>
      <c r="S656" s="334"/>
      <c r="T656" s="687"/>
      <c r="U656" s="118"/>
      <c r="V656" s="1070"/>
      <c r="W656" s="118"/>
      <c r="X656" s="118" t="s">
        <v>32</v>
      </c>
      <c r="Y656" s="118"/>
      <c r="Z656" s="687"/>
      <c r="AA656" s="118"/>
      <c r="AB656" s="1070"/>
      <c r="AC656" s="118"/>
      <c r="AD656" s="118" t="s">
        <v>32</v>
      </c>
      <c r="AE656" s="118"/>
      <c r="AF656" s="687"/>
      <c r="AG656" s="118"/>
      <c r="AH656" s="1070"/>
      <c r="AI656" s="118"/>
      <c r="AJ656" s="118" t="s">
        <v>32</v>
      </c>
      <c r="AK656" s="121"/>
      <c r="AL656" s="687"/>
      <c r="AM656" s="118"/>
      <c r="AN656" s="1070"/>
      <c r="AO656" s="118"/>
      <c r="AP656" s="118" t="s">
        <v>32</v>
      </c>
      <c r="AQ656" s="121"/>
      <c r="AR656" s="530"/>
    </row>
    <row r="657" spans="1:44" ht="18.75">
      <c r="A657" s="1079"/>
      <c r="B657" s="1079"/>
      <c r="C657" s="1079"/>
      <c r="D657" s="1079"/>
      <c r="E657" s="1079"/>
      <c r="F657" s="1079"/>
      <c r="G657" s="1079"/>
      <c r="H657" s="1079"/>
      <c r="I657" s="1079"/>
      <c r="J657" s="1070" t="s">
        <v>115</v>
      </c>
      <c r="K657" s="117"/>
      <c r="L657" s="118" t="s">
        <v>17</v>
      </c>
      <c r="M657" s="118"/>
      <c r="N657" s="687"/>
      <c r="O657" s="118"/>
      <c r="P657" s="1070" t="s">
        <v>115</v>
      </c>
      <c r="Q657" s="118"/>
      <c r="R657" s="118" t="s">
        <v>17</v>
      </c>
      <c r="S657" s="334"/>
      <c r="T657" s="687"/>
      <c r="U657" s="118"/>
      <c r="V657" s="1070" t="s">
        <v>115</v>
      </c>
      <c r="W657" s="118"/>
      <c r="X657" s="118" t="s">
        <v>17</v>
      </c>
      <c r="Y657" s="118"/>
      <c r="Z657" s="687"/>
      <c r="AA657" s="118"/>
      <c r="AB657" s="1070" t="s">
        <v>115</v>
      </c>
      <c r="AC657" s="118"/>
      <c r="AD657" s="118" t="s">
        <v>17</v>
      </c>
      <c r="AE657" s="118"/>
      <c r="AF657" s="687"/>
      <c r="AG657" s="118"/>
      <c r="AH657" s="1070" t="s">
        <v>115</v>
      </c>
      <c r="AI657" s="118"/>
      <c r="AJ657" s="118" t="s">
        <v>17</v>
      </c>
      <c r="AK657" s="121"/>
      <c r="AL657" s="687"/>
      <c r="AM657" s="118"/>
      <c r="AN657" s="1070" t="s">
        <v>115</v>
      </c>
      <c r="AO657" s="118"/>
      <c r="AP657" s="118" t="s">
        <v>17</v>
      </c>
      <c r="AQ657" s="121"/>
      <c r="AR657" s="530"/>
    </row>
    <row r="658" spans="1:44" ht="18.75">
      <c r="A658" s="1079"/>
      <c r="B658" s="1079"/>
      <c r="C658" s="1079"/>
      <c r="D658" s="1079"/>
      <c r="E658" s="1079"/>
      <c r="F658" s="1079"/>
      <c r="G658" s="1079"/>
      <c r="H658" s="1079"/>
      <c r="I658" s="1079"/>
      <c r="J658" s="1070"/>
      <c r="K658" s="117"/>
      <c r="L658" s="118" t="s">
        <v>32</v>
      </c>
      <c r="M658" s="118"/>
      <c r="N658" s="687"/>
      <c r="O658" s="118"/>
      <c r="P658" s="1070"/>
      <c r="Q658" s="118"/>
      <c r="R658" s="118" t="s">
        <v>32</v>
      </c>
      <c r="S658" s="334"/>
      <c r="T658" s="687"/>
      <c r="U658" s="118"/>
      <c r="V658" s="1070"/>
      <c r="W658" s="118"/>
      <c r="X658" s="118" t="s">
        <v>32</v>
      </c>
      <c r="Y658" s="118"/>
      <c r="Z658" s="687"/>
      <c r="AA658" s="118"/>
      <c r="AB658" s="1070"/>
      <c r="AC658" s="118"/>
      <c r="AD658" s="118" t="s">
        <v>32</v>
      </c>
      <c r="AE658" s="118"/>
      <c r="AF658" s="687"/>
      <c r="AG658" s="118"/>
      <c r="AH658" s="1070"/>
      <c r="AI658" s="118"/>
      <c r="AJ658" s="118" t="s">
        <v>32</v>
      </c>
      <c r="AK658" s="121"/>
      <c r="AL658" s="687"/>
      <c r="AM658" s="118"/>
      <c r="AN658" s="1070"/>
      <c r="AO658" s="118"/>
      <c r="AP658" s="118" t="s">
        <v>32</v>
      </c>
      <c r="AQ658" s="121"/>
      <c r="AR658" s="530"/>
    </row>
    <row r="659" spans="1:44" ht="18.75">
      <c r="A659" s="1079"/>
      <c r="B659" s="1079"/>
      <c r="C659" s="1079"/>
      <c r="D659" s="1079"/>
      <c r="E659" s="1079"/>
      <c r="F659" s="1079"/>
      <c r="G659" s="1079"/>
      <c r="H659" s="1079"/>
      <c r="I659" s="1079"/>
      <c r="J659" s="1070" t="s">
        <v>116</v>
      </c>
      <c r="K659" s="117"/>
      <c r="L659" s="118" t="s">
        <v>17</v>
      </c>
      <c r="M659" s="118"/>
      <c r="N659" s="687"/>
      <c r="O659" s="118"/>
      <c r="P659" s="1070" t="s">
        <v>116</v>
      </c>
      <c r="Q659" s="118"/>
      <c r="R659" s="118" t="s">
        <v>17</v>
      </c>
      <c r="S659" s="334"/>
      <c r="T659" s="687"/>
      <c r="U659" s="118"/>
      <c r="V659" s="1070" t="s">
        <v>116</v>
      </c>
      <c r="W659" s="118"/>
      <c r="X659" s="118" t="s">
        <v>17</v>
      </c>
      <c r="Y659" s="118"/>
      <c r="Z659" s="687"/>
      <c r="AA659" s="118"/>
      <c r="AB659" s="1070" t="s">
        <v>116</v>
      </c>
      <c r="AC659" s="118"/>
      <c r="AD659" s="118" t="s">
        <v>17</v>
      </c>
      <c r="AE659" s="118"/>
      <c r="AF659" s="687"/>
      <c r="AG659" s="118"/>
      <c r="AH659" s="1070" t="s">
        <v>116</v>
      </c>
      <c r="AI659" s="118"/>
      <c r="AJ659" s="118" t="s">
        <v>17</v>
      </c>
      <c r="AK659" s="121"/>
      <c r="AL659" s="687"/>
      <c r="AM659" s="118"/>
      <c r="AN659" s="1070" t="s">
        <v>116</v>
      </c>
      <c r="AO659" s="118"/>
      <c r="AP659" s="118" t="s">
        <v>17</v>
      </c>
      <c r="AQ659" s="121"/>
      <c r="AR659" s="530"/>
    </row>
    <row r="660" spans="1:44" ht="18.75">
      <c r="A660" s="1079"/>
      <c r="B660" s="1079"/>
      <c r="C660" s="1079"/>
      <c r="D660" s="1079"/>
      <c r="E660" s="1079"/>
      <c r="F660" s="1079"/>
      <c r="G660" s="1079"/>
      <c r="H660" s="1079"/>
      <c r="I660" s="1079"/>
      <c r="J660" s="1070"/>
      <c r="K660" s="117"/>
      <c r="L660" s="118" t="s">
        <v>32</v>
      </c>
      <c r="M660" s="118"/>
      <c r="N660" s="687"/>
      <c r="O660" s="118"/>
      <c r="P660" s="1070"/>
      <c r="Q660" s="118"/>
      <c r="R660" s="118" t="s">
        <v>32</v>
      </c>
      <c r="S660" s="334"/>
      <c r="T660" s="687"/>
      <c r="U660" s="118"/>
      <c r="V660" s="1070"/>
      <c r="W660" s="118"/>
      <c r="X660" s="118" t="s">
        <v>32</v>
      </c>
      <c r="Y660" s="118"/>
      <c r="Z660" s="687"/>
      <c r="AA660" s="118"/>
      <c r="AB660" s="1070"/>
      <c r="AC660" s="118"/>
      <c r="AD660" s="118" t="s">
        <v>32</v>
      </c>
      <c r="AE660" s="118"/>
      <c r="AF660" s="687"/>
      <c r="AG660" s="118"/>
      <c r="AH660" s="1070"/>
      <c r="AI660" s="118"/>
      <c r="AJ660" s="118" t="s">
        <v>32</v>
      </c>
      <c r="AK660" s="121"/>
      <c r="AL660" s="687"/>
      <c r="AM660" s="118"/>
      <c r="AN660" s="1070"/>
      <c r="AO660" s="118"/>
      <c r="AP660" s="118" t="s">
        <v>32</v>
      </c>
      <c r="AQ660" s="121"/>
      <c r="AR660" s="530"/>
    </row>
    <row r="661" spans="1:44" ht="18.75">
      <c r="A661" s="1079"/>
      <c r="B661" s="1079"/>
      <c r="C661" s="1079"/>
      <c r="D661" s="1079"/>
      <c r="E661" s="1079"/>
      <c r="F661" s="1079"/>
      <c r="G661" s="1079"/>
      <c r="H661" s="1079"/>
      <c r="I661" s="1079"/>
      <c r="J661" s="1070" t="s">
        <v>117</v>
      </c>
      <c r="K661" s="117"/>
      <c r="L661" s="118" t="s">
        <v>17</v>
      </c>
      <c r="M661" s="118"/>
      <c r="N661" s="687"/>
      <c r="O661" s="118"/>
      <c r="P661" s="1070" t="s">
        <v>117</v>
      </c>
      <c r="Q661" s="118"/>
      <c r="R661" s="118" t="s">
        <v>17</v>
      </c>
      <c r="S661" s="334"/>
      <c r="T661" s="687"/>
      <c r="U661" s="118"/>
      <c r="V661" s="1070" t="s">
        <v>117</v>
      </c>
      <c r="W661" s="118"/>
      <c r="X661" s="118" t="s">
        <v>17</v>
      </c>
      <c r="Y661" s="118"/>
      <c r="Z661" s="687"/>
      <c r="AA661" s="118"/>
      <c r="AB661" s="1070" t="s">
        <v>117</v>
      </c>
      <c r="AC661" s="118"/>
      <c r="AD661" s="118" t="s">
        <v>17</v>
      </c>
      <c r="AE661" s="118"/>
      <c r="AF661" s="687"/>
      <c r="AG661" s="118"/>
      <c r="AH661" s="1070" t="s">
        <v>117</v>
      </c>
      <c r="AI661" s="118"/>
      <c r="AJ661" s="118" t="s">
        <v>17</v>
      </c>
      <c r="AK661" s="121"/>
      <c r="AL661" s="687"/>
      <c r="AM661" s="118"/>
      <c r="AN661" s="1070" t="s">
        <v>117</v>
      </c>
      <c r="AO661" s="118"/>
      <c r="AP661" s="118" t="s">
        <v>17</v>
      </c>
      <c r="AQ661" s="121"/>
      <c r="AR661" s="530"/>
    </row>
    <row r="662" spans="1:44" ht="18.75">
      <c r="A662" s="1079"/>
      <c r="B662" s="1079"/>
      <c r="C662" s="1079"/>
      <c r="D662" s="1079"/>
      <c r="E662" s="1079"/>
      <c r="F662" s="1079"/>
      <c r="G662" s="1079"/>
      <c r="H662" s="1079"/>
      <c r="I662" s="1079"/>
      <c r="J662" s="1070"/>
      <c r="K662" s="117"/>
      <c r="L662" s="118" t="s">
        <v>32</v>
      </c>
      <c r="M662" s="118"/>
      <c r="N662" s="687"/>
      <c r="O662" s="118"/>
      <c r="P662" s="1070"/>
      <c r="Q662" s="118"/>
      <c r="R662" s="118" t="s">
        <v>32</v>
      </c>
      <c r="S662" s="334"/>
      <c r="T662" s="687"/>
      <c r="U662" s="118"/>
      <c r="V662" s="1070"/>
      <c r="W662" s="118"/>
      <c r="X662" s="118" t="s">
        <v>32</v>
      </c>
      <c r="Y662" s="118"/>
      <c r="Z662" s="687"/>
      <c r="AA662" s="118"/>
      <c r="AB662" s="1070"/>
      <c r="AC662" s="118"/>
      <c r="AD662" s="118" t="s">
        <v>32</v>
      </c>
      <c r="AE662" s="118"/>
      <c r="AF662" s="687"/>
      <c r="AG662" s="118"/>
      <c r="AH662" s="1070"/>
      <c r="AI662" s="118"/>
      <c r="AJ662" s="118" t="s">
        <v>32</v>
      </c>
      <c r="AK662" s="121"/>
      <c r="AL662" s="687"/>
      <c r="AM662" s="118"/>
      <c r="AN662" s="1070"/>
      <c r="AO662" s="118"/>
      <c r="AP662" s="118" t="s">
        <v>32</v>
      </c>
      <c r="AQ662" s="121"/>
      <c r="AR662" s="530"/>
    </row>
    <row r="663" spans="1:44" ht="18.75">
      <c r="A663" s="1079"/>
      <c r="B663" s="1079"/>
      <c r="C663" s="1079"/>
      <c r="D663" s="1079"/>
      <c r="E663" s="1079"/>
      <c r="F663" s="1079"/>
      <c r="G663" s="1079"/>
      <c r="H663" s="1079"/>
      <c r="I663" s="1079"/>
      <c r="J663" s="1074" t="s">
        <v>462</v>
      </c>
      <c r="K663" s="117"/>
      <c r="L663" s="118" t="s">
        <v>32</v>
      </c>
      <c r="M663" s="1074"/>
      <c r="N663" s="687"/>
      <c r="O663" s="118"/>
      <c r="P663" s="1074" t="s">
        <v>462</v>
      </c>
      <c r="Q663" s="118"/>
      <c r="R663" s="118" t="s">
        <v>32</v>
      </c>
      <c r="S663" s="1076"/>
      <c r="T663" s="687"/>
      <c r="U663" s="118"/>
      <c r="V663" s="1074" t="s">
        <v>462</v>
      </c>
      <c r="W663" s="118"/>
      <c r="X663" s="118" t="s">
        <v>32</v>
      </c>
      <c r="Y663" s="1074"/>
      <c r="Z663" s="687"/>
      <c r="AA663" s="118"/>
      <c r="AB663" s="1074" t="s">
        <v>462</v>
      </c>
      <c r="AC663" s="118"/>
      <c r="AD663" s="118" t="s">
        <v>32</v>
      </c>
      <c r="AE663" s="1074"/>
      <c r="AF663" s="687"/>
      <c r="AG663" s="118"/>
      <c r="AH663" s="1074" t="s">
        <v>462</v>
      </c>
      <c r="AI663" s="118"/>
      <c r="AJ663" s="118" t="s">
        <v>32</v>
      </c>
      <c r="AK663" s="1075"/>
      <c r="AL663" s="687"/>
      <c r="AM663" s="118"/>
      <c r="AN663" s="1074" t="s">
        <v>462</v>
      </c>
      <c r="AO663" s="118"/>
      <c r="AP663" s="118" t="s">
        <v>32</v>
      </c>
      <c r="AQ663" s="1075"/>
      <c r="AR663" s="530"/>
    </row>
    <row r="664" spans="1:44" ht="18.75">
      <c r="A664" s="1079"/>
      <c r="B664" s="1079"/>
      <c r="C664" s="1079"/>
      <c r="D664" s="1079"/>
      <c r="E664" s="1079"/>
      <c r="F664" s="1079"/>
      <c r="G664" s="1079"/>
      <c r="H664" s="1079"/>
      <c r="I664" s="1079"/>
      <c r="J664" s="1074"/>
      <c r="K664" s="117"/>
      <c r="L664" s="118" t="s">
        <v>17</v>
      </c>
      <c r="M664" s="1074"/>
      <c r="N664" s="687"/>
      <c r="O664" s="118"/>
      <c r="P664" s="1074"/>
      <c r="Q664" s="118"/>
      <c r="R664" s="118" t="s">
        <v>17</v>
      </c>
      <c r="S664" s="1076"/>
      <c r="T664" s="687"/>
      <c r="U664" s="118"/>
      <c r="V664" s="1074"/>
      <c r="W664" s="118"/>
      <c r="X664" s="118" t="s">
        <v>17</v>
      </c>
      <c r="Y664" s="1074"/>
      <c r="Z664" s="687"/>
      <c r="AA664" s="118"/>
      <c r="AB664" s="1074"/>
      <c r="AC664" s="118"/>
      <c r="AD664" s="118" t="s">
        <v>17</v>
      </c>
      <c r="AE664" s="1074"/>
      <c r="AF664" s="687"/>
      <c r="AG664" s="118"/>
      <c r="AH664" s="1074"/>
      <c r="AI664" s="118"/>
      <c r="AJ664" s="118" t="s">
        <v>17</v>
      </c>
      <c r="AK664" s="1075"/>
      <c r="AL664" s="687"/>
      <c r="AM664" s="118"/>
      <c r="AN664" s="1074"/>
      <c r="AO664" s="118"/>
      <c r="AP664" s="118" t="s">
        <v>17</v>
      </c>
      <c r="AQ664" s="1075"/>
      <c r="AR664" s="530"/>
    </row>
    <row r="665" spans="1:44" ht="56.25">
      <c r="A665" s="1079"/>
      <c r="B665" s="1079"/>
      <c r="C665" s="1079"/>
      <c r="D665" s="1079"/>
      <c r="E665" s="1079"/>
      <c r="F665" s="1079"/>
      <c r="G665" s="1079"/>
      <c r="H665" s="1079"/>
      <c r="I665" s="1079"/>
      <c r="J665" s="124" t="s">
        <v>120</v>
      </c>
      <c r="K665" s="117"/>
      <c r="L665" s="118" t="s">
        <v>118</v>
      </c>
      <c r="M665" s="118"/>
      <c r="N665" s="687"/>
      <c r="O665" s="118"/>
      <c r="P665" s="124" t="s">
        <v>120</v>
      </c>
      <c r="Q665" s="118"/>
      <c r="R665" s="118" t="s">
        <v>118</v>
      </c>
      <c r="S665" s="334"/>
      <c r="T665" s="687"/>
      <c r="U665" s="118"/>
      <c r="V665" s="124" t="s">
        <v>120</v>
      </c>
      <c r="W665" s="118"/>
      <c r="X665" s="118" t="s">
        <v>118</v>
      </c>
      <c r="Y665" s="118"/>
      <c r="Z665" s="687"/>
      <c r="AA665" s="118"/>
      <c r="AB665" s="124" t="s">
        <v>120</v>
      </c>
      <c r="AC665" s="118"/>
      <c r="AD665" s="118" t="s">
        <v>118</v>
      </c>
      <c r="AE665" s="118"/>
      <c r="AF665" s="687"/>
      <c r="AG665" s="118"/>
      <c r="AH665" s="124" t="s">
        <v>120</v>
      </c>
      <c r="AI665" s="118"/>
      <c r="AJ665" s="118" t="s">
        <v>118</v>
      </c>
      <c r="AK665" s="121"/>
      <c r="AL665" s="687"/>
      <c r="AM665" s="118"/>
      <c r="AN665" s="124" t="s">
        <v>120</v>
      </c>
      <c r="AO665" s="118"/>
      <c r="AP665" s="118" t="s">
        <v>118</v>
      </c>
      <c r="AQ665" s="121"/>
      <c r="AR665" s="530"/>
    </row>
    <row r="666" spans="1:44" ht="56.25">
      <c r="A666" s="1079"/>
      <c r="B666" s="1079"/>
      <c r="C666" s="1079"/>
      <c r="D666" s="1079"/>
      <c r="E666" s="1079"/>
      <c r="F666" s="1079"/>
      <c r="G666" s="1079"/>
      <c r="H666" s="1079"/>
      <c r="I666" s="1079"/>
      <c r="J666" s="124" t="s">
        <v>93</v>
      </c>
      <c r="K666" s="117"/>
      <c r="L666" s="118" t="s">
        <v>118</v>
      </c>
      <c r="M666" s="118"/>
      <c r="N666" s="687"/>
      <c r="O666" s="118"/>
      <c r="P666" s="124" t="s">
        <v>93</v>
      </c>
      <c r="Q666" s="118"/>
      <c r="R666" s="118" t="s">
        <v>118</v>
      </c>
      <c r="S666" s="334"/>
      <c r="T666" s="687"/>
      <c r="U666" s="118"/>
      <c r="V666" s="124" t="s">
        <v>93</v>
      </c>
      <c r="W666" s="118"/>
      <c r="X666" s="118" t="s">
        <v>118</v>
      </c>
      <c r="Y666" s="118"/>
      <c r="Z666" s="687"/>
      <c r="AA666" s="118"/>
      <c r="AB666" s="124" t="s">
        <v>93</v>
      </c>
      <c r="AC666" s="118"/>
      <c r="AD666" s="118" t="s">
        <v>118</v>
      </c>
      <c r="AE666" s="118"/>
      <c r="AF666" s="687"/>
      <c r="AG666" s="118"/>
      <c r="AH666" s="124" t="s">
        <v>93</v>
      </c>
      <c r="AI666" s="118"/>
      <c r="AJ666" s="118" t="s">
        <v>118</v>
      </c>
      <c r="AK666" s="121"/>
      <c r="AL666" s="687"/>
      <c r="AM666" s="118"/>
      <c r="AN666" s="124" t="s">
        <v>93</v>
      </c>
      <c r="AO666" s="118"/>
      <c r="AP666" s="118" t="s">
        <v>118</v>
      </c>
      <c r="AQ666" s="121"/>
      <c r="AR666" s="530"/>
    </row>
    <row r="667" spans="1:44" ht="75">
      <c r="A667" s="1079"/>
      <c r="B667" s="1079"/>
      <c r="C667" s="1079"/>
      <c r="D667" s="1079"/>
      <c r="E667" s="1079"/>
      <c r="F667" s="1079"/>
      <c r="G667" s="1079"/>
      <c r="H667" s="1079"/>
      <c r="I667" s="1079"/>
      <c r="J667" s="124" t="s">
        <v>463</v>
      </c>
      <c r="K667" s="117"/>
      <c r="L667" s="118" t="s">
        <v>2681</v>
      </c>
      <c r="M667" s="118"/>
      <c r="N667" s="687"/>
      <c r="O667" s="118"/>
      <c r="P667" s="124" t="s">
        <v>463</v>
      </c>
      <c r="Q667" s="118"/>
      <c r="R667" s="118" t="s">
        <v>2681</v>
      </c>
      <c r="S667" s="334"/>
      <c r="T667" s="687"/>
      <c r="U667" s="118"/>
      <c r="V667" s="124" t="s">
        <v>463</v>
      </c>
      <c r="W667" s="118"/>
      <c r="X667" s="118" t="s">
        <v>2681</v>
      </c>
      <c r="Y667" s="118"/>
      <c r="Z667" s="687"/>
      <c r="AA667" s="118"/>
      <c r="AB667" s="124" t="s">
        <v>463</v>
      </c>
      <c r="AC667" s="118"/>
      <c r="AD667" s="118" t="s">
        <v>2681</v>
      </c>
      <c r="AE667" s="118"/>
      <c r="AF667" s="687"/>
      <c r="AG667" s="118"/>
      <c r="AH667" s="124" t="s">
        <v>463</v>
      </c>
      <c r="AI667" s="118"/>
      <c r="AJ667" s="118" t="s">
        <v>2681</v>
      </c>
      <c r="AK667" s="121"/>
      <c r="AL667" s="687"/>
      <c r="AM667" s="118"/>
      <c r="AN667" s="124" t="s">
        <v>463</v>
      </c>
      <c r="AO667" s="118"/>
      <c r="AP667" s="118" t="s">
        <v>2681</v>
      </c>
      <c r="AQ667" s="121"/>
      <c r="AR667" s="530"/>
    </row>
    <row r="668" spans="1:44" ht="37.5">
      <c r="A668" s="1079"/>
      <c r="B668" s="1079"/>
      <c r="C668" s="1079"/>
      <c r="D668" s="1079"/>
      <c r="E668" s="1079"/>
      <c r="F668" s="1079"/>
      <c r="G668" s="1079"/>
      <c r="H668" s="1079"/>
      <c r="I668" s="1079"/>
      <c r="J668" s="124" t="s">
        <v>464</v>
      </c>
      <c r="K668" s="117"/>
      <c r="L668" s="118" t="s">
        <v>32</v>
      </c>
      <c r="M668" s="118"/>
      <c r="N668" s="687"/>
      <c r="O668" s="118"/>
      <c r="P668" s="124" t="s">
        <v>464</v>
      </c>
      <c r="Q668" s="118"/>
      <c r="R668" s="118" t="s">
        <v>32</v>
      </c>
      <c r="S668" s="334"/>
      <c r="T668" s="687"/>
      <c r="U668" s="118"/>
      <c r="V668" s="124" t="s">
        <v>464</v>
      </c>
      <c r="W668" s="118"/>
      <c r="X668" s="118" t="s">
        <v>32</v>
      </c>
      <c r="Y668" s="118"/>
      <c r="Z668" s="687"/>
      <c r="AA668" s="118"/>
      <c r="AB668" s="124" t="s">
        <v>464</v>
      </c>
      <c r="AC668" s="118"/>
      <c r="AD668" s="118" t="s">
        <v>32</v>
      </c>
      <c r="AE668" s="118"/>
      <c r="AF668" s="687"/>
      <c r="AG668" s="118"/>
      <c r="AH668" s="124" t="s">
        <v>464</v>
      </c>
      <c r="AI668" s="118"/>
      <c r="AJ668" s="118" t="s">
        <v>32</v>
      </c>
      <c r="AK668" s="121"/>
      <c r="AL668" s="687"/>
      <c r="AM668" s="118"/>
      <c r="AN668" s="124" t="s">
        <v>464</v>
      </c>
      <c r="AO668" s="118"/>
      <c r="AP668" s="118" t="s">
        <v>32</v>
      </c>
      <c r="AQ668" s="121"/>
      <c r="AR668" s="530"/>
    </row>
    <row r="669" spans="1:44" ht="37.5">
      <c r="A669" s="1079"/>
      <c r="B669" s="1079"/>
      <c r="C669" s="1079"/>
      <c r="D669" s="1079"/>
      <c r="E669" s="1079"/>
      <c r="F669" s="1079"/>
      <c r="G669" s="1079"/>
      <c r="H669" s="1079"/>
      <c r="I669" s="1079"/>
      <c r="J669" s="124" t="s">
        <v>68</v>
      </c>
      <c r="K669" s="117"/>
      <c r="L669" s="118" t="s">
        <v>2681</v>
      </c>
      <c r="M669" s="118"/>
      <c r="N669" s="687"/>
      <c r="O669" s="118"/>
      <c r="P669" s="124" t="s">
        <v>68</v>
      </c>
      <c r="Q669" s="118"/>
      <c r="R669" s="118" t="s">
        <v>2681</v>
      </c>
      <c r="S669" s="334"/>
      <c r="T669" s="687"/>
      <c r="U669" s="118"/>
      <c r="V669" s="124" t="s">
        <v>68</v>
      </c>
      <c r="W669" s="118"/>
      <c r="X669" s="118" t="s">
        <v>2681</v>
      </c>
      <c r="Y669" s="118"/>
      <c r="Z669" s="687"/>
      <c r="AA669" s="118"/>
      <c r="AB669" s="124" t="s">
        <v>68</v>
      </c>
      <c r="AC669" s="118"/>
      <c r="AD669" s="118"/>
      <c r="AE669" s="118"/>
      <c r="AF669" s="687"/>
      <c r="AG669" s="118"/>
      <c r="AH669" s="124" t="s">
        <v>68</v>
      </c>
      <c r="AI669" s="118"/>
      <c r="AJ669" s="118"/>
      <c r="AK669" s="121"/>
      <c r="AL669" s="687"/>
      <c r="AM669" s="118"/>
      <c r="AN669" s="124" t="s">
        <v>68</v>
      </c>
      <c r="AO669" s="118"/>
      <c r="AP669" s="118"/>
      <c r="AQ669" s="121"/>
      <c r="AR669" s="530"/>
    </row>
    <row r="670" spans="1:44" ht="56.25">
      <c r="A670" s="1079"/>
      <c r="B670" s="1079"/>
      <c r="C670" s="1079"/>
      <c r="D670" s="1079"/>
      <c r="E670" s="1079"/>
      <c r="F670" s="1079"/>
      <c r="G670" s="1079"/>
      <c r="H670" s="1079"/>
      <c r="I670" s="1079"/>
      <c r="J670" s="124" t="s">
        <v>465</v>
      </c>
      <c r="K670" s="117"/>
      <c r="L670" s="118" t="s">
        <v>2681</v>
      </c>
      <c r="M670" s="118"/>
      <c r="N670" s="687"/>
      <c r="O670" s="118"/>
      <c r="P670" s="124" t="s">
        <v>465</v>
      </c>
      <c r="Q670" s="118"/>
      <c r="R670" s="118" t="s">
        <v>2681</v>
      </c>
      <c r="S670" s="334"/>
      <c r="T670" s="687"/>
      <c r="U670" s="118"/>
      <c r="V670" s="124" t="s">
        <v>465</v>
      </c>
      <c r="W670" s="118"/>
      <c r="X670" s="118" t="s">
        <v>2681</v>
      </c>
      <c r="Y670" s="118"/>
      <c r="Z670" s="687"/>
      <c r="AA670" s="118"/>
      <c r="AB670" s="124" t="s">
        <v>465</v>
      </c>
      <c r="AC670" s="118"/>
      <c r="AD670" s="118" t="s">
        <v>2681</v>
      </c>
      <c r="AE670" s="118"/>
      <c r="AF670" s="687"/>
      <c r="AG670" s="118"/>
      <c r="AH670" s="124" t="s">
        <v>465</v>
      </c>
      <c r="AI670" s="118"/>
      <c r="AJ670" s="118" t="s">
        <v>2681</v>
      </c>
      <c r="AK670" s="121"/>
      <c r="AL670" s="687"/>
      <c r="AM670" s="118"/>
      <c r="AN670" s="124" t="s">
        <v>465</v>
      </c>
      <c r="AO670" s="118"/>
      <c r="AP670" s="118" t="s">
        <v>2681</v>
      </c>
      <c r="AQ670" s="121"/>
      <c r="AR670" s="530"/>
    </row>
    <row r="671" spans="1:44" ht="37.5">
      <c r="A671" s="1079"/>
      <c r="B671" s="1079"/>
      <c r="C671" s="1079"/>
      <c r="D671" s="1079"/>
      <c r="E671" s="1079"/>
      <c r="F671" s="1079"/>
      <c r="G671" s="1079"/>
      <c r="H671" s="1079"/>
      <c r="I671" s="1079"/>
      <c r="J671" s="124" t="s">
        <v>112</v>
      </c>
      <c r="K671" s="117"/>
      <c r="L671" s="118" t="s">
        <v>32</v>
      </c>
      <c r="M671" s="118"/>
      <c r="N671" s="687"/>
      <c r="O671" s="118"/>
      <c r="P671" s="124" t="s">
        <v>112</v>
      </c>
      <c r="Q671" s="118"/>
      <c r="R671" s="118" t="s">
        <v>32</v>
      </c>
      <c r="S671" s="334"/>
      <c r="T671" s="687"/>
      <c r="U671" s="118"/>
      <c r="V671" s="124" t="s">
        <v>112</v>
      </c>
      <c r="W671" s="118"/>
      <c r="X671" s="118" t="s">
        <v>32</v>
      </c>
      <c r="Y671" s="118"/>
      <c r="Z671" s="687"/>
      <c r="AA671" s="118"/>
      <c r="AB671" s="124"/>
      <c r="AC671" s="118"/>
      <c r="AD671" s="118"/>
      <c r="AE671" s="118"/>
      <c r="AF671" s="687"/>
      <c r="AG671" s="118"/>
      <c r="AH671" s="124"/>
      <c r="AI671" s="118"/>
      <c r="AJ671" s="118"/>
      <c r="AK671" s="121"/>
      <c r="AL671" s="687"/>
      <c r="AM671" s="118"/>
      <c r="AN671" s="124"/>
      <c r="AO671" s="118"/>
      <c r="AP671" s="118"/>
      <c r="AQ671" s="121"/>
      <c r="AR671" s="530"/>
    </row>
    <row r="672" spans="1:44" ht="56.25">
      <c r="A672" s="1079"/>
      <c r="B672" s="1079"/>
      <c r="C672" s="1079"/>
      <c r="D672" s="1079"/>
      <c r="E672" s="1079"/>
      <c r="F672" s="1079"/>
      <c r="G672" s="1079"/>
      <c r="H672" s="1079"/>
      <c r="I672" s="1079"/>
      <c r="J672" s="124" t="s">
        <v>466</v>
      </c>
      <c r="K672" s="117"/>
      <c r="L672" s="118" t="s">
        <v>32</v>
      </c>
      <c r="M672" s="118"/>
      <c r="N672" s="687"/>
      <c r="O672" s="118"/>
      <c r="P672" s="124" t="s">
        <v>466</v>
      </c>
      <c r="Q672" s="118"/>
      <c r="R672" s="118" t="s">
        <v>32</v>
      </c>
      <c r="S672" s="334"/>
      <c r="T672" s="687"/>
      <c r="U672" s="118"/>
      <c r="V672" s="124" t="s">
        <v>466</v>
      </c>
      <c r="W672" s="118"/>
      <c r="X672" s="118" t="s">
        <v>32</v>
      </c>
      <c r="Y672" s="118"/>
      <c r="Z672" s="687"/>
      <c r="AA672" s="118"/>
      <c r="AB672" s="124"/>
      <c r="AC672" s="118"/>
      <c r="AD672" s="118"/>
      <c r="AE672" s="118"/>
      <c r="AF672" s="687"/>
      <c r="AG672" s="118"/>
      <c r="AH672" s="124"/>
      <c r="AI672" s="118"/>
      <c r="AJ672" s="118"/>
      <c r="AK672" s="121"/>
      <c r="AL672" s="687"/>
      <c r="AM672" s="118"/>
      <c r="AN672" s="124"/>
      <c r="AO672" s="118"/>
      <c r="AP672" s="118"/>
      <c r="AQ672" s="121"/>
      <c r="AR672" s="530"/>
    </row>
    <row r="673" spans="1:44" ht="56.25">
      <c r="A673" s="1079"/>
      <c r="B673" s="1079"/>
      <c r="C673" s="1079"/>
      <c r="D673" s="1079"/>
      <c r="E673" s="1079"/>
      <c r="F673" s="1079"/>
      <c r="G673" s="1079"/>
      <c r="H673" s="1079"/>
      <c r="I673" s="1079"/>
      <c r="J673" s="124" t="s">
        <v>467</v>
      </c>
      <c r="K673" s="117"/>
      <c r="L673" s="118" t="s">
        <v>32</v>
      </c>
      <c r="M673" s="118"/>
      <c r="N673" s="687"/>
      <c r="O673" s="118"/>
      <c r="P673" s="124" t="s">
        <v>467</v>
      </c>
      <c r="Q673" s="118"/>
      <c r="R673" s="118" t="s">
        <v>32</v>
      </c>
      <c r="S673" s="334"/>
      <c r="T673" s="687"/>
      <c r="U673" s="118"/>
      <c r="V673" s="124" t="s">
        <v>467</v>
      </c>
      <c r="W673" s="118"/>
      <c r="X673" s="118" t="s">
        <v>32</v>
      </c>
      <c r="Y673" s="118"/>
      <c r="Z673" s="687"/>
      <c r="AA673" s="118"/>
      <c r="AB673" s="124"/>
      <c r="AC673" s="118"/>
      <c r="AD673" s="118"/>
      <c r="AE673" s="118"/>
      <c r="AF673" s="687"/>
      <c r="AG673" s="118"/>
      <c r="AH673" s="124"/>
      <c r="AI673" s="118"/>
      <c r="AJ673" s="118"/>
      <c r="AK673" s="121"/>
      <c r="AL673" s="687"/>
      <c r="AM673" s="118"/>
      <c r="AN673" s="124"/>
      <c r="AO673" s="118"/>
      <c r="AP673" s="118"/>
      <c r="AQ673" s="121"/>
      <c r="AR673" s="530"/>
    </row>
    <row r="674" spans="1:44" ht="56.25">
      <c r="A674" s="1079"/>
      <c r="B674" s="1079"/>
      <c r="C674" s="1079"/>
      <c r="D674" s="1079"/>
      <c r="E674" s="1079"/>
      <c r="F674" s="1079"/>
      <c r="G674" s="1079"/>
      <c r="H674" s="1079"/>
      <c r="I674" s="1079"/>
      <c r="J674" s="124" t="s">
        <v>468</v>
      </c>
      <c r="K674" s="117"/>
      <c r="L674" s="118" t="s">
        <v>118</v>
      </c>
      <c r="M674" s="118"/>
      <c r="N674" s="687"/>
      <c r="O674" s="118"/>
      <c r="P674" s="124" t="s">
        <v>468</v>
      </c>
      <c r="Q674" s="118"/>
      <c r="R674" s="118" t="s">
        <v>118</v>
      </c>
      <c r="S674" s="334"/>
      <c r="T674" s="687"/>
      <c r="U674" s="118"/>
      <c r="V674" s="124" t="s">
        <v>468</v>
      </c>
      <c r="W674" s="118"/>
      <c r="X674" s="118" t="s">
        <v>118</v>
      </c>
      <c r="Y674" s="118"/>
      <c r="Z674" s="687"/>
      <c r="AA674" s="118"/>
      <c r="AB674" s="124"/>
      <c r="AC674" s="118"/>
      <c r="AD674" s="118"/>
      <c r="AE674" s="118"/>
      <c r="AF674" s="687"/>
      <c r="AG674" s="118"/>
      <c r="AH674" s="124"/>
      <c r="AI674" s="118"/>
      <c r="AJ674" s="118"/>
      <c r="AK674" s="121"/>
      <c r="AL674" s="687"/>
      <c r="AM674" s="118"/>
      <c r="AN674" s="124"/>
      <c r="AO674" s="118"/>
      <c r="AP674" s="118"/>
      <c r="AQ674" s="121"/>
      <c r="AR674" s="530"/>
    </row>
    <row r="675" spans="1:44" ht="56.25">
      <c r="A675" s="1079"/>
      <c r="B675" s="1079"/>
      <c r="C675" s="1079"/>
      <c r="D675" s="1079"/>
      <c r="E675" s="1079"/>
      <c r="F675" s="1079"/>
      <c r="G675" s="1079"/>
      <c r="H675" s="1079"/>
      <c r="I675" s="1079"/>
      <c r="J675" s="124" t="s">
        <v>469</v>
      </c>
      <c r="K675" s="117"/>
      <c r="L675" s="118" t="s">
        <v>2681</v>
      </c>
      <c r="M675" s="118"/>
      <c r="N675" s="687"/>
      <c r="O675" s="118"/>
      <c r="P675" s="124" t="s">
        <v>469</v>
      </c>
      <c r="Q675" s="118"/>
      <c r="R675" s="118" t="s">
        <v>2681</v>
      </c>
      <c r="S675" s="334"/>
      <c r="T675" s="687"/>
      <c r="U675" s="118"/>
      <c r="V675" s="124" t="s">
        <v>469</v>
      </c>
      <c r="W675" s="118"/>
      <c r="X675" s="118" t="s">
        <v>2681</v>
      </c>
      <c r="Y675" s="118"/>
      <c r="Z675" s="687"/>
      <c r="AA675" s="118"/>
      <c r="AB675" s="124"/>
      <c r="AC675" s="118"/>
      <c r="AD675" s="118"/>
      <c r="AE675" s="118"/>
      <c r="AF675" s="687"/>
      <c r="AG675" s="118"/>
      <c r="AH675" s="124"/>
      <c r="AI675" s="118"/>
      <c r="AJ675" s="118"/>
      <c r="AK675" s="121"/>
      <c r="AL675" s="687"/>
      <c r="AM675" s="118"/>
      <c r="AN675" s="124"/>
      <c r="AO675" s="118"/>
      <c r="AP675" s="118"/>
      <c r="AQ675" s="121"/>
      <c r="AR675" s="530"/>
    </row>
    <row r="676" spans="1:44" ht="93.75">
      <c r="A676" s="1079"/>
      <c r="B676" s="1079"/>
      <c r="C676" s="1079"/>
      <c r="D676" s="1079"/>
      <c r="E676" s="1079"/>
      <c r="F676" s="1079"/>
      <c r="G676" s="1079"/>
      <c r="H676" s="1079"/>
      <c r="I676" s="1079"/>
      <c r="J676" s="124" t="s">
        <v>470</v>
      </c>
      <c r="K676" s="117"/>
      <c r="L676" s="118" t="s">
        <v>118</v>
      </c>
      <c r="M676" s="118"/>
      <c r="N676" s="687"/>
      <c r="O676" s="118"/>
      <c r="P676" s="124" t="s">
        <v>470</v>
      </c>
      <c r="Q676" s="118"/>
      <c r="R676" s="118" t="s">
        <v>118</v>
      </c>
      <c r="S676" s="334"/>
      <c r="T676" s="687"/>
      <c r="U676" s="118"/>
      <c r="V676" s="124" t="s">
        <v>470</v>
      </c>
      <c r="W676" s="118"/>
      <c r="X676" s="118" t="s">
        <v>118</v>
      </c>
      <c r="Y676" s="118"/>
      <c r="Z676" s="687"/>
      <c r="AA676" s="118"/>
      <c r="AB676" s="124"/>
      <c r="AC676" s="118"/>
      <c r="AD676" s="118"/>
      <c r="AE676" s="118"/>
      <c r="AF676" s="687"/>
      <c r="AG676" s="118"/>
      <c r="AH676" s="124"/>
      <c r="AI676" s="118"/>
      <c r="AJ676" s="118"/>
      <c r="AK676" s="121"/>
      <c r="AL676" s="687"/>
      <c r="AM676" s="118"/>
      <c r="AN676" s="124"/>
      <c r="AO676" s="118"/>
      <c r="AP676" s="118"/>
      <c r="AQ676" s="121"/>
      <c r="AR676" s="530"/>
    </row>
    <row r="677" spans="1:44" ht="18.75">
      <c r="A677" s="1079"/>
      <c r="B677" s="1079"/>
      <c r="C677" s="1079"/>
      <c r="D677" s="1079"/>
      <c r="E677" s="1079"/>
      <c r="F677" s="1079"/>
      <c r="G677" s="1079"/>
      <c r="H677" s="1079"/>
      <c r="I677" s="1079"/>
      <c r="J677" s="124" t="s">
        <v>471</v>
      </c>
      <c r="K677" s="117"/>
      <c r="L677" s="118"/>
      <c r="M677" s="118"/>
      <c r="N677" s="687"/>
      <c r="O677" s="118"/>
      <c r="P677" s="124" t="s">
        <v>471</v>
      </c>
      <c r="Q677" s="118"/>
      <c r="R677" s="118"/>
      <c r="S677" s="334"/>
      <c r="T677" s="687"/>
      <c r="U677" s="118"/>
      <c r="V677" s="124" t="s">
        <v>471</v>
      </c>
      <c r="W677" s="118"/>
      <c r="X677" s="118"/>
      <c r="Y677" s="118"/>
      <c r="Z677" s="687"/>
      <c r="AA677" s="118"/>
      <c r="AB677" s="124" t="s">
        <v>471</v>
      </c>
      <c r="AC677" s="118"/>
      <c r="AD677" s="118"/>
      <c r="AE677" s="118"/>
      <c r="AF677" s="687"/>
      <c r="AG677" s="118"/>
      <c r="AH677" s="124" t="s">
        <v>471</v>
      </c>
      <c r="AI677" s="118"/>
      <c r="AJ677" s="118"/>
      <c r="AK677" s="121"/>
      <c r="AL677" s="687"/>
      <c r="AM677" s="118"/>
      <c r="AN677" s="124" t="s">
        <v>471</v>
      </c>
      <c r="AO677" s="118"/>
      <c r="AP677" s="118"/>
      <c r="AQ677" s="121"/>
      <c r="AR677" s="530"/>
    </row>
  </sheetData>
  <mergeCells count="2672">
    <mergeCell ref="A1:AR1"/>
    <mergeCell ref="S537:S538"/>
    <mergeCell ref="S589:S590"/>
    <mergeCell ref="AR2:AR5"/>
    <mergeCell ref="C173:C174"/>
    <mergeCell ref="G112:G114"/>
    <mergeCell ref="F112:F114"/>
    <mergeCell ref="E112:E114"/>
    <mergeCell ref="D112:D114"/>
    <mergeCell ref="C112:C114"/>
    <mergeCell ref="B112:B114"/>
    <mergeCell ref="A112:A114"/>
    <mergeCell ref="P219:P220"/>
    <mergeCell ref="S219:S220"/>
    <mergeCell ref="A132:A133"/>
    <mergeCell ref="B132:B133"/>
    <mergeCell ref="C132:C133"/>
    <mergeCell ref="O55:O56"/>
    <mergeCell ref="N55:N56"/>
    <mergeCell ref="N80:N81"/>
    <mergeCell ref="O80:O81"/>
    <mergeCell ref="N167:N168"/>
    <mergeCell ref="O167:O168"/>
    <mergeCell ref="N182:N183"/>
    <mergeCell ref="O182:O183"/>
    <mergeCell ref="N219:N220"/>
    <mergeCell ref="O219:O220"/>
    <mergeCell ref="H214:H215"/>
    <mergeCell ref="I214:I215"/>
    <mergeCell ref="J208:J209"/>
    <mergeCell ref="M208:M209"/>
    <mergeCell ref="I210:I211"/>
    <mergeCell ref="J210:J211"/>
    <mergeCell ref="M210:M211"/>
    <mergeCell ref="J206:J207"/>
    <mergeCell ref="M206:M207"/>
    <mergeCell ref="P640:P641"/>
    <mergeCell ref="V634:V635"/>
    <mergeCell ref="V636:V637"/>
    <mergeCell ref="V638:V639"/>
    <mergeCell ref="V640:V641"/>
    <mergeCell ref="AB634:AB635"/>
    <mergeCell ref="AB636:AB637"/>
    <mergeCell ref="AB638:AB639"/>
    <mergeCell ref="AB640:AB641"/>
    <mergeCell ref="AH634:AH635"/>
    <mergeCell ref="AH636:AH637"/>
    <mergeCell ref="AH638:AH639"/>
    <mergeCell ref="AH640:AH641"/>
    <mergeCell ref="P610:P611"/>
    <mergeCell ref="V610:V611"/>
    <mergeCell ref="AB610:AB611"/>
    <mergeCell ref="N505:N506"/>
    <mergeCell ref="O505:O506"/>
    <mergeCell ref="N499:N500"/>
    <mergeCell ref="N501:N502"/>
    <mergeCell ref="O499:O500"/>
    <mergeCell ref="O501:O502"/>
    <mergeCell ref="S499:S500"/>
    <mergeCell ref="Z496:AA496"/>
    <mergeCell ref="T461:U461"/>
    <mergeCell ref="AF461:AF462"/>
    <mergeCell ref="AB467:AB468"/>
    <mergeCell ref="AB469:AB470"/>
    <mergeCell ref="A606:I622"/>
    <mergeCell ref="A654:I654"/>
    <mergeCell ref="A655:I677"/>
    <mergeCell ref="J634:J635"/>
    <mergeCell ref="J636:J637"/>
    <mergeCell ref="J638:J639"/>
    <mergeCell ref="J640:J641"/>
    <mergeCell ref="A634:I649"/>
    <mergeCell ref="A633:C633"/>
    <mergeCell ref="A624:I624"/>
    <mergeCell ref="A650:I650"/>
    <mergeCell ref="A628:C628"/>
    <mergeCell ref="J659:J660"/>
    <mergeCell ref="AB663:AB664"/>
    <mergeCell ref="AE663:AE664"/>
    <mergeCell ref="AH663:AH664"/>
    <mergeCell ref="AK663:AK664"/>
    <mergeCell ref="J657:J658"/>
    <mergeCell ref="P657:P658"/>
    <mergeCell ref="V657:V658"/>
    <mergeCell ref="AB657:AB658"/>
    <mergeCell ref="AH657:AH658"/>
    <mergeCell ref="J655:J656"/>
    <mergeCell ref="J610:J611"/>
    <mergeCell ref="AN663:AN664"/>
    <mergeCell ref="AN657:AN658"/>
    <mergeCell ref="J608:J609"/>
    <mergeCell ref="P608:P609"/>
    <mergeCell ref="V608:V609"/>
    <mergeCell ref="AB608:AB609"/>
    <mergeCell ref="AH608:AH609"/>
    <mergeCell ref="AB606:AB607"/>
    <mergeCell ref="AH606:AH607"/>
    <mergeCell ref="AN606:AN607"/>
    <mergeCell ref="AQ663:AQ664"/>
    <mergeCell ref="J663:J664"/>
    <mergeCell ref="M663:M664"/>
    <mergeCell ref="P663:P664"/>
    <mergeCell ref="S663:S664"/>
    <mergeCell ref="V663:V664"/>
    <mergeCell ref="Y663:Y664"/>
    <mergeCell ref="J661:J662"/>
    <mergeCell ref="P661:P662"/>
    <mergeCell ref="V661:V662"/>
    <mergeCell ref="AB661:AB662"/>
    <mergeCell ref="AH661:AH662"/>
    <mergeCell ref="AN661:AN662"/>
    <mergeCell ref="P659:P660"/>
    <mergeCell ref="V659:V660"/>
    <mergeCell ref="AB659:AB660"/>
    <mergeCell ref="AH659:AH660"/>
    <mergeCell ref="AN659:AN660"/>
    <mergeCell ref="AQ603:AQ604"/>
    <mergeCell ref="Y603:Y604"/>
    <mergeCell ref="AB603:AB604"/>
    <mergeCell ref="AE603:AE604"/>
    <mergeCell ref="AH603:AH604"/>
    <mergeCell ref="AK603:AK604"/>
    <mergeCell ref="AN603:AN604"/>
    <mergeCell ref="P655:P656"/>
    <mergeCell ref="V655:V656"/>
    <mergeCell ref="AB655:AB656"/>
    <mergeCell ref="AH655:AH656"/>
    <mergeCell ref="AN655:AN656"/>
    <mergeCell ref="AB612:AB613"/>
    <mergeCell ref="AH612:AH613"/>
    <mergeCell ref="AN612:AN613"/>
    <mergeCell ref="J606:J607"/>
    <mergeCell ref="P606:P607"/>
    <mergeCell ref="V606:V607"/>
    <mergeCell ref="AH610:AH611"/>
    <mergeCell ref="AN610:AN611"/>
    <mergeCell ref="J612:J613"/>
    <mergeCell ref="P612:P613"/>
    <mergeCell ref="V612:V613"/>
    <mergeCell ref="AN608:AN609"/>
    <mergeCell ref="AN634:AN635"/>
    <mergeCell ref="AN636:AN637"/>
    <mergeCell ref="AN638:AN639"/>
    <mergeCell ref="AN640:AN641"/>
    <mergeCell ref="P634:P635"/>
    <mergeCell ref="P636:P637"/>
    <mergeCell ref="P638:P639"/>
    <mergeCell ref="F603:F604"/>
    <mergeCell ref="J603:J604"/>
    <mergeCell ref="M603:M604"/>
    <mergeCell ref="P603:P604"/>
    <mergeCell ref="S603:S604"/>
    <mergeCell ref="V603:V604"/>
    <mergeCell ref="A605:C605"/>
    <mergeCell ref="G598:G600"/>
    <mergeCell ref="P598:P599"/>
    <mergeCell ref="S598:S599"/>
    <mergeCell ref="A603:A604"/>
    <mergeCell ref="B603:B604"/>
    <mergeCell ref="C603:C604"/>
    <mergeCell ref="D603:D604"/>
    <mergeCell ref="E603:E604"/>
    <mergeCell ref="A598:A600"/>
    <mergeCell ref="B598:B600"/>
    <mergeCell ref="C598:C600"/>
    <mergeCell ref="D598:D600"/>
    <mergeCell ref="E598:E600"/>
    <mergeCell ref="F598:F600"/>
    <mergeCell ref="F596:F597"/>
    <mergeCell ref="G596:G597"/>
    <mergeCell ref="P596:P597"/>
    <mergeCell ref="S596:S597"/>
    <mergeCell ref="G594:G595"/>
    <mergeCell ref="P594:P595"/>
    <mergeCell ref="S594:S595"/>
    <mergeCell ref="A596:A597"/>
    <mergeCell ref="B596:B597"/>
    <mergeCell ref="C596:C597"/>
    <mergeCell ref="D596:D597"/>
    <mergeCell ref="E596:E597"/>
    <mergeCell ref="A594:A595"/>
    <mergeCell ref="B594:B595"/>
    <mergeCell ref="C594:C595"/>
    <mergeCell ref="D594:D595"/>
    <mergeCell ref="E594:E595"/>
    <mergeCell ref="F594:F595"/>
    <mergeCell ref="G589:G590"/>
    <mergeCell ref="P589:P590"/>
    <mergeCell ref="A589:A590"/>
    <mergeCell ref="B589:B590"/>
    <mergeCell ref="C589:C590"/>
    <mergeCell ref="D589:D590"/>
    <mergeCell ref="E589:E590"/>
    <mergeCell ref="F589:F590"/>
    <mergeCell ref="N589:N590"/>
    <mergeCell ref="O589:O590"/>
    <mergeCell ref="F573:F574"/>
    <mergeCell ref="G573:G574"/>
    <mergeCell ref="P573:P574"/>
    <mergeCell ref="S573:S574"/>
    <mergeCell ref="N573:N574"/>
    <mergeCell ref="O573:O574"/>
    <mergeCell ref="G571:G572"/>
    <mergeCell ref="P571:P572"/>
    <mergeCell ref="S571:S572"/>
    <mergeCell ref="A573:A574"/>
    <mergeCell ref="B573:B574"/>
    <mergeCell ref="C573:C574"/>
    <mergeCell ref="D573:D574"/>
    <mergeCell ref="E573:E574"/>
    <mergeCell ref="A571:A572"/>
    <mergeCell ref="B571:B572"/>
    <mergeCell ref="C571:C572"/>
    <mergeCell ref="D571:D572"/>
    <mergeCell ref="E571:E572"/>
    <mergeCell ref="F571:F572"/>
    <mergeCell ref="F569:F570"/>
    <mergeCell ref="G569:G570"/>
    <mergeCell ref="P569:P570"/>
    <mergeCell ref="S569:S570"/>
    <mergeCell ref="G567:G568"/>
    <mergeCell ref="P567:P568"/>
    <mergeCell ref="S567:S568"/>
    <mergeCell ref="A569:A570"/>
    <mergeCell ref="B569:B570"/>
    <mergeCell ref="C569:C570"/>
    <mergeCell ref="D569:D570"/>
    <mergeCell ref="E569:E570"/>
    <mergeCell ref="A567:A568"/>
    <mergeCell ref="B567:B568"/>
    <mergeCell ref="C567:C568"/>
    <mergeCell ref="D567:D568"/>
    <mergeCell ref="E567:E568"/>
    <mergeCell ref="F567:F568"/>
    <mergeCell ref="F565:F566"/>
    <mergeCell ref="G565:G566"/>
    <mergeCell ref="P565:P566"/>
    <mergeCell ref="S565:S566"/>
    <mergeCell ref="G563:G564"/>
    <mergeCell ref="P563:P564"/>
    <mergeCell ref="S563:S564"/>
    <mergeCell ref="A565:A566"/>
    <mergeCell ref="B565:B566"/>
    <mergeCell ref="C565:C566"/>
    <mergeCell ref="D565:D566"/>
    <mergeCell ref="E565:E566"/>
    <mergeCell ref="A563:A564"/>
    <mergeCell ref="B563:B564"/>
    <mergeCell ref="C563:C564"/>
    <mergeCell ref="D563:D564"/>
    <mergeCell ref="E563:E564"/>
    <mergeCell ref="F563:F564"/>
    <mergeCell ref="F561:F562"/>
    <mergeCell ref="G561:G562"/>
    <mergeCell ref="P561:P562"/>
    <mergeCell ref="S561:S562"/>
    <mergeCell ref="N561:N562"/>
    <mergeCell ref="O561:O562"/>
    <mergeCell ref="G559:G560"/>
    <mergeCell ref="P559:P560"/>
    <mergeCell ref="S559:S560"/>
    <mergeCell ref="A561:A562"/>
    <mergeCell ref="B561:B562"/>
    <mergeCell ref="C561:C562"/>
    <mergeCell ref="D561:D562"/>
    <mergeCell ref="E561:E562"/>
    <mergeCell ref="A559:A560"/>
    <mergeCell ref="B559:B560"/>
    <mergeCell ref="C559:C560"/>
    <mergeCell ref="D559:D560"/>
    <mergeCell ref="E559:E560"/>
    <mergeCell ref="F559:F560"/>
    <mergeCell ref="F557:F558"/>
    <mergeCell ref="G557:G558"/>
    <mergeCell ref="P557:P558"/>
    <mergeCell ref="S557:S558"/>
    <mergeCell ref="N557:N558"/>
    <mergeCell ref="O557:O558"/>
    <mergeCell ref="G555:G556"/>
    <mergeCell ref="P555:P556"/>
    <mergeCell ref="S555:S556"/>
    <mergeCell ref="A557:A558"/>
    <mergeCell ref="B557:B558"/>
    <mergeCell ref="C557:C558"/>
    <mergeCell ref="D557:D558"/>
    <mergeCell ref="E557:E558"/>
    <mergeCell ref="A555:A556"/>
    <mergeCell ref="B555:B556"/>
    <mergeCell ref="C555:C556"/>
    <mergeCell ref="D555:D556"/>
    <mergeCell ref="E555:E556"/>
    <mergeCell ref="F555:F556"/>
    <mergeCell ref="F553:F554"/>
    <mergeCell ref="G553:G554"/>
    <mergeCell ref="P553:P554"/>
    <mergeCell ref="S553:S554"/>
    <mergeCell ref="G551:G552"/>
    <mergeCell ref="P551:P552"/>
    <mergeCell ref="S551:S552"/>
    <mergeCell ref="A553:A554"/>
    <mergeCell ref="B553:B554"/>
    <mergeCell ref="C553:C554"/>
    <mergeCell ref="D553:D554"/>
    <mergeCell ref="E553:E554"/>
    <mergeCell ref="A551:A552"/>
    <mergeCell ref="B551:B552"/>
    <mergeCell ref="C551:C552"/>
    <mergeCell ref="D551:D552"/>
    <mergeCell ref="E551:E552"/>
    <mergeCell ref="F551:F552"/>
    <mergeCell ref="F549:F550"/>
    <mergeCell ref="G549:G550"/>
    <mergeCell ref="P549:P550"/>
    <mergeCell ref="S549:S550"/>
    <mergeCell ref="G547:G548"/>
    <mergeCell ref="P547:P548"/>
    <mergeCell ref="S547:S548"/>
    <mergeCell ref="A549:A550"/>
    <mergeCell ref="B549:B550"/>
    <mergeCell ref="C549:C550"/>
    <mergeCell ref="D549:D550"/>
    <mergeCell ref="E549:E550"/>
    <mergeCell ref="A547:A548"/>
    <mergeCell ref="B547:B548"/>
    <mergeCell ref="C547:C548"/>
    <mergeCell ref="D547:D548"/>
    <mergeCell ref="E547:E548"/>
    <mergeCell ref="F547:F548"/>
    <mergeCell ref="F545:F546"/>
    <mergeCell ref="G545:G546"/>
    <mergeCell ref="P545:P546"/>
    <mergeCell ref="S545:S546"/>
    <mergeCell ref="G543:G544"/>
    <mergeCell ref="P543:P544"/>
    <mergeCell ref="S543:S544"/>
    <mergeCell ref="A545:A546"/>
    <mergeCell ref="B545:B546"/>
    <mergeCell ref="C545:C546"/>
    <mergeCell ref="D545:D546"/>
    <mergeCell ref="E545:E546"/>
    <mergeCell ref="A543:A544"/>
    <mergeCell ref="B543:B544"/>
    <mergeCell ref="C543:C544"/>
    <mergeCell ref="D543:D544"/>
    <mergeCell ref="E543:E544"/>
    <mergeCell ref="F543:F544"/>
    <mergeCell ref="F541:F542"/>
    <mergeCell ref="G541:G542"/>
    <mergeCell ref="P541:P542"/>
    <mergeCell ref="S541:S542"/>
    <mergeCell ref="G539:G540"/>
    <mergeCell ref="P539:P540"/>
    <mergeCell ref="S539:S540"/>
    <mergeCell ref="A541:A542"/>
    <mergeCell ref="B541:B542"/>
    <mergeCell ref="C541:C542"/>
    <mergeCell ref="D541:D542"/>
    <mergeCell ref="E541:E542"/>
    <mergeCell ref="A539:A540"/>
    <mergeCell ref="B539:B540"/>
    <mergeCell ref="C539:C540"/>
    <mergeCell ref="D539:D540"/>
    <mergeCell ref="E539:E540"/>
    <mergeCell ref="F539:F540"/>
    <mergeCell ref="F537:F538"/>
    <mergeCell ref="G537:G538"/>
    <mergeCell ref="P537:P538"/>
    <mergeCell ref="N537:N538"/>
    <mergeCell ref="O537:O538"/>
    <mergeCell ref="G535:G536"/>
    <mergeCell ref="P535:P536"/>
    <mergeCell ref="S535:S536"/>
    <mergeCell ref="A537:A538"/>
    <mergeCell ref="B537:B538"/>
    <mergeCell ref="C537:C538"/>
    <mergeCell ref="D537:D538"/>
    <mergeCell ref="E537:E538"/>
    <mergeCell ref="A535:A536"/>
    <mergeCell ref="B535:B536"/>
    <mergeCell ref="C535:C536"/>
    <mergeCell ref="D535:D536"/>
    <mergeCell ref="E535:E536"/>
    <mergeCell ref="F535:F536"/>
    <mergeCell ref="F533:F534"/>
    <mergeCell ref="G533:G534"/>
    <mergeCell ref="P533:P534"/>
    <mergeCell ref="S533:S534"/>
    <mergeCell ref="G531:G532"/>
    <mergeCell ref="P531:P532"/>
    <mergeCell ref="S531:S532"/>
    <mergeCell ref="A533:A534"/>
    <mergeCell ref="B533:B534"/>
    <mergeCell ref="C533:C534"/>
    <mergeCell ref="D533:D534"/>
    <mergeCell ref="E533:E534"/>
    <mergeCell ref="A531:A532"/>
    <mergeCell ref="B531:B532"/>
    <mergeCell ref="C531:C532"/>
    <mergeCell ref="D531:D532"/>
    <mergeCell ref="E531:E532"/>
    <mergeCell ref="F531:F532"/>
    <mergeCell ref="F529:F530"/>
    <mergeCell ref="G529:G530"/>
    <mergeCell ref="P529:P530"/>
    <mergeCell ref="S529:S530"/>
    <mergeCell ref="N529:N530"/>
    <mergeCell ref="O529:O530"/>
    <mergeCell ref="G527:G528"/>
    <mergeCell ref="P527:P528"/>
    <mergeCell ref="S527:S528"/>
    <mergeCell ref="A529:A530"/>
    <mergeCell ref="B529:B530"/>
    <mergeCell ref="C529:C530"/>
    <mergeCell ref="D529:D530"/>
    <mergeCell ref="E529:E530"/>
    <mergeCell ref="A527:A528"/>
    <mergeCell ref="B527:B528"/>
    <mergeCell ref="C527:C528"/>
    <mergeCell ref="D527:D528"/>
    <mergeCell ref="E527:E528"/>
    <mergeCell ref="F527:F528"/>
    <mergeCell ref="F525:F526"/>
    <mergeCell ref="G525:G526"/>
    <mergeCell ref="P525:P526"/>
    <mergeCell ref="S525:S526"/>
    <mergeCell ref="G523:G524"/>
    <mergeCell ref="P523:P524"/>
    <mergeCell ref="S523:S524"/>
    <mergeCell ref="A525:A526"/>
    <mergeCell ref="B525:B526"/>
    <mergeCell ref="C525:C526"/>
    <mergeCell ref="D525:D526"/>
    <mergeCell ref="E525:E526"/>
    <mergeCell ref="A523:A524"/>
    <mergeCell ref="B523:B524"/>
    <mergeCell ref="C523:C524"/>
    <mergeCell ref="D523:D524"/>
    <mergeCell ref="E523:E524"/>
    <mergeCell ref="F523:F524"/>
    <mergeCell ref="F521:F522"/>
    <mergeCell ref="G521:G522"/>
    <mergeCell ref="P521:P522"/>
    <mergeCell ref="S521:S522"/>
    <mergeCell ref="N521:N522"/>
    <mergeCell ref="N523:N524"/>
    <mergeCell ref="O521:O522"/>
    <mergeCell ref="O523:O524"/>
    <mergeCell ref="G519:G520"/>
    <mergeCell ref="P519:P520"/>
    <mergeCell ref="S519:S520"/>
    <mergeCell ref="A521:A522"/>
    <mergeCell ref="B521:B522"/>
    <mergeCell ref="C521:C522"/>
    <mergeCell ref="D521:D522"/>
    <mergeCell ref="E521:E522"/>
    <mergeCell ref="A519:A520"/>
    <mergeCell ref="B519:B520"/>
    <mergeCell ref="C519:C520"/>
    <mergeCell ref="D519:D520"/>
    <mergeCell ref="E519:E520"/>
    <mergeCell ref="F519:F520"/>
    <mergeCell ref="F517:F518"/>
    <mergeCell ref="G517:G518"/>
    <mergeCell ref="P517:P518"/>
    <mergeCell ref="S517:S518"/>
    <mergeCell ref="N517:N518"/>
    <mergeCell ref="N519:N520"/>
    <mergeCell ref="O517:O518"/>
    <mergeCell ref="O519:O520"/>
    <mergeCell ref="G515:G516"/>
    <mergeCell ref="P515:P516"/>
    <mergeCell ref="S515:S516"/>
    <mergeCell ref="A517:A518"/>
    <mergeCell ref="B517:B518"/>
    <mergeCell ref="C517:C518"/>
    <mergeCell ref="D517:D518"/>
    <mergeCell ref="E517:E518"/>
    <mergeCell ref="A515:A516"/>
    <mergeCell ref="B515:B516"/>
    <mergeCell ref="C515:C516"/>
    <mergeCell ref="D515:D516"/>
    <mergeCell ref="E515:E516"/>
    <mergeCell ref="F515:F516"/>
    <mergeCell ref="N515:N516"/>
    <mergeCell ref="O515:O516"/>
    <mergeCell ref="G511:G512"/>
    <mergeCell ref="P511:P512"/>
    <mergeCell ref="S511:S512"/>
    <mergeCell ref="A513:A514"/>
    <mergeCell ref="B513:B514"/>
    <mergeCell ref="C513:C514"/>
    <mergeCell ref="D513:D514"/>
    <mergeCell ref="E513:E514"/>
    <mergeCell ref="A511:A512"/>
    <mergeCell ref="B511:B512"/>
    <mergeCell ref="C511:C512"/>
    <mergeCell ref="D511:D512"/>
    <mergeCell ref="E511:E512"/>
    <mergeCell ref="F511:F512"/>
    <mergeCell ref="A509:A510"/>
    <mergeCell ref="B509:B510"/>
    <mergeCell ref="C509:C510"/>
    <mergeCell ref="D509:D510"/>
    <mergeCell ref="E509:E510"/>
    <mergeCell ref="A507:A508"/>
    <mergeCell ref="B507:B508"/>
    <mergeCell ref="C507:C508"/>
    <mergeCell ref="D507:D508"/>
    <mergeCell ref="E507:E508"/>
    <mergeCell ref="F507:F508"/>
    <mergeCell ref="N507:N508"/>
    <mergeCell ref="O507:O508"/>
    <mergeCell ref="F513:F514"/>
    <mergeCell ref="G513:G514"/>
    <mergeCell ref="P513:P514"/>
    <mergeCell ref="S513:S514"/>
    <mergeCell ref="N513:N514"/>
    <mergeCell ref="C503:C504"/>
    <mergeCell ref="D503:D504"/>
    <mergeCell ref="E503:E504"/>
    <mergeCell ref="F503:F504"/>
    <mergeCell ref="G503:G504"/>
    <mergeCell ref="G507:G508"/>
    <mergeCell ref="P507:P508"/>
    <mergeCell ref="S507:S508"/>
    <mergeCell ref="N503:N504"/>
    <mergeCell ref="O503:O504"/>
    <mergeCell ref="F509:F510"/>
    <mergeCell ref="G509:G510"/>
    <mergeCell ref="P509:P510"/>
    <mergeCell ref="S509:S510"/>
    <mergeCell ref="N509:N510"/>
    <mergeCell ref="N511:N512"/>
    <mergeCell ref="O509:O510"/>
    <mergeCell ref="O511:O512"/>
    <mergeCell ref="O513:O514"/>
    <mergeCell ref="A501:A502"/>
    <mergeCell ref="B501:B502"/>
    <mergeCell ref="C501:C502"/>
    <mergeCell ref="D501:D502"/>
    <mergeCell ref="E501:E502"/>
    <mergeCell ref="F501:F502"/>
    <mergeCell ref="G501:G502"/>
    <mergeCell ref="J499:J500"/>
    <mergeCell ref="M499:M500"/>
    <mergeCell ref="P499:P500"/>
    <mergeCell ref="A499:A500"/>
    <mergeCell ref="B499:B500"/>
    <mergeCell ref="C499:C500"/>
    <mergeCell ref="P505:P506"/>
    <mergeCell ref="S505:S506"/>
    <mergeCell ref="D499:D500"/>
    <mergeCell ref="E499:E500"/>
    <mergeCell ref="F499:F500"/>
    <mergeCell ref="G499:G500"/>
    <mergeCell ref="P503:P504"/>
    <mergeCell ref="S503:S504"/>
    <mergeCell ref="P501:P502"/>
    <mergeCell ref="S501:S502"/>
    <mergeCell ref="A505:A506"/>
    <mergeCell ref="B505:B506"/>
    <mergeCell ref="C505:C506"/>
    <mergeCell ref="D505:D506"/>
    <mergeCell ref="E505:E506"/>
    <mergeCell ref="F505:F506"/>
    <mergeCell ref="G505:G506"/>
    <mergeCell ref="A503:A504"/>
    <mergeCell ref="B503:B504"/>
    <mergeCell ref="A497:A498"/>
    <mergeCell ref="B497:B498"/>
    <mergeCell ref="C497:C498"/>
    <mergeCell ref="D497:D498"/>
    <mergeCell ref="E497:E498"/>
    <mergeCell ref="F497:F498"/>
    <mergeCell ref="G497:G498"/>
    <mergeCell ref="AO488:AO489"/>
    <mergeCell ref="AP488:AP489"/>
    <mergeCell ref="AQ488:AQ489"/>
    <mergeCell ref="AF490:AG490"/>
    <mergeCell ref="AL492:AM492"/>
    <mergeCell ref="AL494:AM494"/>
    <mergeCell ref="P488:P489"/>
    <mergeCell ref="S488:S489"/>
    <mergeCell ref="AL488:AM489"/>
    <mergeCell ref="AN488:AN489"/>
    <mergeCell ref="N497:N498"/>
    <mergeCell ref="O497:O498"/>
    <mergeCell ref="P497:P498"/>
    <mergeCell ref="S497:S498"/>
    <mergeCell ref="J497:J498"/>
    <mergeCell ref="M497:M498"/>
    <mergeCell ref="I486:I487"/>
    <mergeCell ref="J486:J487"/>
    <mergeCell ref="M486:M487"/>
    <mergeCell ref="A488:A489"/>
    <mergeCell ref="B488:B489"/>
    <mergeCell ref="C488:C489"/>
    <mergeCell ref="D488:D489"/>
    <mergeCell ref="E488:E489"/>
    <mergeCell ref="F488:F489"/>
    <mergeCell ref="G488:G489"/>
    <mergeCell ref="AB484:AB485"/>
    <mergeCell ref="AE484:AE485"/>
    <mergeCell ref="A486:A487"/>
    <mergeCell ref="B486:B487"/>
    <mergeCell ref="C486:C487"/>
    <mergeCell ref="D486:D487"/>
    <mergeCell ref="E486:E487"/>
    <mergeCell ref="F486:F487"/>
    <mergeCell ref="G486:G487"/>
    <mergeCell ref="H486:H487"/>
    <mergeCell ref="F484:F485"/>
    <mergeCell ref="G484:G485"/>
    <mergeCell ref="Z484:Z485"/>
    <mergeCell ref="AA484:AA485"/>
    <mergeCell ref="G481:G483"/>
    <mergeCell ref="A484:A485"/>
    <mergeCell ref="B484:B485"/>
    <mergeCell ref="C484:C485"/>
    <mergeCell ref="D484:D485"/>
    <mergeCell ref="E484:E485"/>
    <mergeCell ref="Z477:Z478"/>
    <mergeCell ref="AA477:AA478"/>
    <mergeCell ref="AB477:AB478"/>
    <mergeCell ref="AE477:AE478"/>
    <mergeCell ref="A481:A483"/>
    <mergeCell ref="B481:B483"/>
    <mergeCell ref="C481:C483"/>
    <mergeCell ref="D481:D483"/>
    <mergeCell ref="E481:E483"/>
    <mergeCell ref="F481:F483"/>
    <mergeCell ref="AA474:AA475"/>
    <mergeCell ref="AB474:AB475"/>
    <mergeCell ref="AE474:AE475"/>
    <mergeCell ref="A477:A478"/>
    <mergeCell ref="B477:B478"/>
    <mergeCell ref="C477:C478"/>
    <mergeCell ref="D477:D478"/>
    <mergeCell ref="E477:E478"/>
    <mergeCell ref="F477:F478"/>
    <mergeCell ref="G477:G478"/>
    <mergeCell ref="G474:G475"/>
    <mergeCell ref="P474:P475"/>
    <mergeCell ref="S474:S475"/>
    <mergeCell ref="Z474:Z475"/>
    <mergeCell ref="P472:P473"/>
    <mergeCell ref="S472:S473"/>
    <mergeCell ref="A474:A475"/>
    <mergeCell ref="B474:B475"/>
    <mergeCell ref="C474:C475"/>
    <mergeCell ref="D474:D475"/>
    <mergeCell ref="E474:E475"/>
    <mergeCell ref="F474:F475"/>
    <mergeCell ref="A472:A473"/>
    <mergeCell ref="B472:B473"/>
    <mergeCell ref="C472:C473"/>
    <mergeCell ref="D472:D473"/>
    <mergeCell ref="E472:E473"/>
    <mergeCell ref="F472:F473"/>
    <mergeCell ref="G472:G473"/>
    <mergeCell ref="G469:G471"/>
    <mergeCell ref="J469:J470"/>
    <mergeCell ref="M469:M470"/>
    <mergeCell ref="C461:C462"/>
    <mergeCell ref="D461:D462"/>
    <mergeCell ref="E461:E462"/>
    <mergeCell ref="F461:F462"/>
    <mergeCell ref="P464:P465"/>
    <mergeCell ref="S464:S465"/>
    <mergeCell ref="H461:H462"/>
    <mergeCell ref="I461:I462"/>
    <mergeCell ref="H464:H465"/>
    <mergeCell ref="I464:I465"/>
    <mergeCell ref="Z469:Z470"/>
    <mergeCell ref="J464:J465"/>
    <mergeCell ref="AA469:AA470"/>
    <mergeCell ref="Z467:Z468"/>
    <mergeCell ref="AA467:AA468"/>
    <mergeCell ref="A469:A471"/>
    <mergeCell ref="B469:B471"/>
    <mergeCell ref="C469:C471"/>
    <mergeCell ref="D469:D471"/>
    <mergeCell ref="E469:E471"/>
    <mergeCell ref="F469:F471"/>
    <mergeCell ref="Z466:AA466"/>
    <mergeCell ref="A467:A468"/>
    <mergeCell ref="B467:B468"/>
    <mergeCell ref="C467:C468"/>
    <mergeCell ref="D467:D468"/>
    <mergeCell ref="E467:E468"/>
    <mergeCell ref="M464:M465"/>
    <mergeCell ref="F467:F468"/>
    <mergeCell ref="G467:G468"/>
    <mergeCell ref="A459:A460"/>
    <mergeCell ref="B459:B460"/>
    <mergeCell ref="C459:C460"/>
    <mergeCell ref="D459:D460"/>
    <mergeCell ref="E459:E460"/>
    <mergeCell ref="F459:F460"/>
    <mergeCell ref="G459:G460"/>
    <mergeCell ref="H457:H458"/>
    <mergeCell ref="I457:I458"/>
    <mergeCell ref="J457:J458"/>
    <mergeCell ref="M457:M458"/>
    <mergeCell ref="AL457:AL458"/>
    <mergeCell ref="AM457:AM458"/>
    <mergeCell ref="AG461:AG462"/>
    <mergeCell ref="AE469:AE470"/>
    <mergeCell ref="AE467:AE468"/>
    <mergeCell ref="H469:H470"/>
    <mergeCell ref="I469:I470"/>
    <mergeCell ref="AH461:AH462"/>
    <mergeCell ref="AK461:AK462"/>
    <mergeCell ref="A464:A465"/>
    <mergeCell ref="B464:B465"/>
    <mergeCell ref="C464:C465"/>
    <mergeCell ref="D464:D465"/>
    <mergeCell ref="E464:E465"/>
    <mergeCell ref="F464:F465"/>
    <mergeCell ref="G464:G465"/>
    <mergeCell ref="G461:G462"/>
    <mergeCell ref="J461:J462"/>
    <mergeCell ref="M461:M462"/>
    <mergeCell ref="A461:A462"/>
    <mergeCell ref="B461:B462"/>
    <mergeCell ref="AM455:AM456"/>
    <mergeCell ref="AN455:AN456"/>
    <mergeCell ref="AQ455:AQ456"/>
    <mergeCell ref="A457:A458"/>
    <mergeCell ref="B457:B458"/>
    <mergeCell ref="C457:C458"/>
    <mergeCell ref="D457:D458"/>
    <mergeCell ref="E457:E458"/>
    <mergeCell ref="F457:F458"/>
    <mergeCell ref="G457:G458"/>
    <mergeCell ref="AN453:AN454"/>
    <mergeCell ref="AQ453:AQ454"/>
    <mergeCell ref="A455:A456"/>
    <mergeCell ref="B455:B456"/>
    <mergeCell ref="C455:C456"/>
    <mergeCell ref="D455:D456"/>
    <mergeCell ref="E455:E456"/>
    <mergeCell ref="F455:F456"/>
    <mergeCell ref="G455:G456"/>
    <mergeCell ref="AL455:AL456"/>
    <mergeCell ref="F453:F454"/>
    <mergeCell ref="G453:G454"/>
    <mergeCell ref="P453:P454"/>
    <mergeCell ref="S453:S454"/>
    <mergeCell ref="AL453:AL454"/>
    <mergeCell ref="AM453:AM454"/>
    <mergeCell ref="AN457:AN458"/>
    <mergeCell ref="AQ457:AQ458"/>
    <mergeCell ref="Z459:AA460"/>
    <mergeCell ref="AB459:AB460"/>
    <mergeCell ref="AC459:AC460"/>
    <mergeCell ref="AD459:AD460"/>
    <mergeCell ref="AE459:AE460"/>
    <mergeCell ref="G450:G451"/>
    <mergeCell ref="H450:H451"/>
    <mergeCell ref="I450:I451"/>
    <mergeCell ref="J450:J451"/>
    <mergeCell ref="M450:M451"/>
    <mergeCell ref="A453:A454"/>
    <mergeCell ref="B453:B454"/>
    <mergeCell ref="C453:C454"/>
    <mergeCell ref="D453:D454"/>
    <mergeCell ref="E453:E454"/>
    <mergeCell ref="G448:G449"/>
    <mergeCell ref="J448:J449"/>
    <mergeCell ref="M448:M449"/>
    <mergeCell ref="A450:A451"/>
    <mergeCell ref="B450:B451"/>
    <mergeCell ref="C450:C451"/>
    <mergeCell ref="D450:D451"/>
    <mergeCell ref="E450:E451"/>
    <mergeCell ref="F450:F451"/>
    <mergeCell ref="A448:A449"/>
    <mergeCell ref="B448:B449"/>
    <mergeCell ref="C448:C449"/>
    <mergeCell ref="D448:D449"/>
    <mergeCell ref="E448:E449"/>
    <mergeCell ref="F448:F449"/>
    <mergeCell ref="H448:H449"/>
    <mergeCell ref="I448:I449"/>
    <mergeCell ref="I444:I445"/>
    <mergeCell ref="J444:J445"/>
    <mergeCell ref="M444:M445"/>
    <mergeCell ref="P444:P445"/>
    <mergeCell ref="S444:S445"/>
    <mergeCell ref="P442:P443"/>
    <mergeCell ref="S442:S443"/>
    <mergeCell ref="A444:A446"/>
    <mergeCell ref="B444:B446"/>
    <mergeCell ref="C444:C446"/>
    <mergeCell ref="D444:D446"/>
    <mergeCell ref="E444:E446"/>
    <mergeCell ref="F444:F446"/>
    <mergeCell ref="G444:G446"/>
    <mergeCell ref="H444:H445"/>
    <mergeCell ref="M440:M441"/>
    <mergeCell ref="A442:A443"/>
    <mergeCell ref="B442:B443"/>
    <mergeCell ref="C442:C443"/>
    <mergeCell ref="D442:D443"/>
    <mergeCell ref="E442:E443"/>
    <mergeCell ref="F442:F443"/>
    <mergeCell ref="G442:G443"/>
    <mergeCell ref="H440:H441"/>
    <mergeCell ref="I440:I441"/>
    <mergeCell ref="AQ436:AQ437"/>
    <mergeCell ref="A440:A441"/>
    <mergeCell ref="B440:B441"/>
    <mergeCell ref="C440:C441"/>
    <mergeCell ref="D440:D441"/>
    <mergeCell ref="E440:E441"/>
    <mergeCell ref="F440:F441"/>
    <mergeCell ref="G440:G441"/>
    <mergeCell ref="J440:J441"/>
    <mergeCell ref="I436:I437"/>
    <mergeCell ref="J436:J437"/>
    <mergeCell ref="M436:M437"/>
    <mergeCell ref="AL436:AL437"/>
    <mergeCell ref="AM436:AM437"/>
    <mergeCell ref="AN436:AN437"/>
    <mergeCell ref="AN434:AN435"/>
    <mergeCell ref="AQ434:AQ435"/>
    <mergeCell ref="A436:A437"/>
    <mergeCell ref="B436:B437"/>
    <mergeCell ref="C436:C437"/>
    <mergeCell ref="D436:D437"/>
    <mergeCell ref="E436:E437"/>
    <mergeCell ref="F436:F437"/>
    <mergeCell ref="G436:G437"/>
    <mergeCell ref="H436:H437"/>
    <mergeCell ref="H434:H435"/>
    <mergeCell ref="I434:I435"/>
    <mergeCell ref="J434:J435"/>
    <mergeCell ref="M434:M435"/>
    <mergeCell ref="AL434:AL435"/>
    <mergeCell ref="AM434:AM435"/>
    <mergeCell ref="AM432:AM433"/>
    <mergeCell ref="AN432:AN433"/>
    <mergeCell ref="AQ432:AQ433"/>
    <mergeCell ref="A434:A435"/>
    <mergeCell ref="B434:B435"/>
    <mergeCell ref="C434:C435"/>
    <mergeCell ref="D434:D435"/>
    <mergeCell ref="E434:E435"/>
    <mergeCell ref="F434:F435"/>
    <mergeCell ref="G434:G435"/>
    <mergeCell ref="F432:F433"/>
    <mergeCell ref="G432:G433"/>
    <mergeCell ref="Z432:AA432"/>
    <mergeCell ref="AL432:AL433"/>
    <mergeCell ref="G430:G431"/>
    <mergeCell ref="P430:P431"/>
    <mergeCell ref="S430:S431"/>
    <mergeCell ref="A432:A433"/>
    <mergeCell ref="B432:B433"/>
    <mergeCell ref="C432:C433"/>
    <mergeCell ref="D432:D433"/>
    <mergeCell ref="E432:E433"/>
    <mergeCell ref="A430:A431"/>
    <mergeCell ref="B430:B431"/>
    <mergeCell ref="C430:C431"/>
    <mergeCell ref="D430:D431"/>
    <mergeCell ref="E430:E431"/>
    <mergeCell ref="F430:F431"/>
    <mergeCell ref="F427:F428"/>
    <mergeCell ref="G427:G428"/>
    <mergeCell ref="H427:H428"/>
    <mergeCell ref="I427:I428"/>
    <mergeCell ref="J427:J428"/>
    <mergeCell ref="M427:M428"/>
    <mergeCell ref="G425:G426"/>
    <mergeCell ref="H425:H426"/>
    <mergeCell ref="I425:I426"/>
    <mergeCell ref="J425:J426"/>
    <mergeCell ref="M425:M426"/>
    <mergeCell ref="A427:A428"/>
    <mergeCell ref="B427:B428"/>
    <mergeCell ref="C427:C428"/>
    <mergeCell ref="D427:D428"/>
    <mergeCell ref="E427:E428"/>
    <mergeCell ref="A425:A426"/>
    <mergeCell ref="B425:B426"/>
    <mergeCell ref="C425:C426"/>
    <mergeCell ref="D425:D426"/>
    <mergeCell ref="E425:E426"/>
    <mergeCell ref="F425:F426"/>
    <mergeCell ref="F421:F422"/>
    <mergeCell ref="G421:G422"/>
    <mergeCell ref="H421:H422"/>
    <mergeCell ref="I421:I422"/>
    <mergeCell ref="J421:J422"/>
    <mergeCell ref="M421:M422"/>
    <mergeCell ref="F419:F420"/>
    <mergeCell ref="G419:G420"/>
    <mergeCell ref="J419:J420"/>
    <mergeCell ref="M419:M420"/>
    <mergeCell ref="A421:A422"/>
    <mergeCell ref="B421:B422"/>
    <mergeCell ref="C421:C422"/>
    <mergeCell ref="D421:D422"/>
    <mergeCell ref="E421:E422"/>
    <mergeCell ref="F416:F417"/>
    <mergeCell ref="G416:G417"/>
    <mergeCell ref="J416:J417"/>
    <mergeCell ref="M416:M417"/>
    <mergeCell ref="A419:A420"/>
    <mergeCell ref="B419:B420"/>
    <mergeCell ref="C419:C420"/>
    <mergeCell ref="D419:D420"/>
    <mergeCell ref="E419:E420"/>
    <mergeCell ref="H419:H420"/>
    <mergeCell ref="I419:I420"/>
    <mergeCell ref="G413:G414"/>
    <mergeCell ref="H413:H414"/>
    <mergeCell ref="I413:I414"/>
    <mergeCell ref="J413:J414"/>
    <mergeCell ref="M413:M414"/>
    <mergeCell ref="A416:A417"/>
    <mergeCell ref="B416:B417"/>
    <mergeCell ref="C416:C417"/>
    <mergeCell ref="D416:D417"/>
    <mergeCell ref="E416:E417"/>
    <mergeCell ref="P411:P412"/>
    <mergeCell ref="S411:S412"/>
    <mergeCell ref="A413:A414"/>
    <mergeCell ref="B413:B414"/>
    <mergeCell ref="C413:C414"/>
    <mergeCell ref="D413:D414"/>
    <mergeCell ref="E413:E414"/>
    <mergeCell ref="F413:F414"/>
    <mergeCell ref="H416:H417"/>
    <mergeCell ref="I416:I417"/>
    <mergeCell ref="J409:J410"/>
    <mergeCell ref="M409:M410"/>
    <mergeCell ref="A411:A412"/>
    <mergeCell ref="B411:B412"/>
    <mergeCell ref="C411:C412"/>
    <mergeCell ref="D411:D412"/>
    <mergeCell ref="E411:E412"/>
    <mergeCell ref="F411:F412"/>
    <mergeCell ref="G411:G412"/>
    <mergeCell ref="P407:P408"/>
    <mergeCell ref="S407:S408"/>
    <mergeCell ref="A409:A410"/>
    <mergeCell ref="B409:B410"/>
    <mergeCell ref="C409:C410"/>
    <mergeCell ref="D409:D410"/>
    <mergeCell ref="E409:E410"/>
    <mergeCell ref="F409:F410"/>
    <mergeCell ref="G409:G410"/>
    <mergeCell ref="H409:H410"/>
    <mergeCell ref="H407:H408"/>
    <mergeCell ref="I407:I408"/>
    <mergeCell ref="J407:J408"/>
    <mergeCell ref="M407:M408"/>
    <mergeCell ref="I409:I410"/>
    <mergeCell ref="P405:P406"/>
    <mergeCell ref="S405:S406"/>
    <mergeCell ref="A407:A408"/>
    <mergeCell ref="B407:B408"/>
    <mergeCell ref="C407:C408"/>
    <mergeCell ref="D407:D408"/>
    <mergeCell ref="E407:E408"/>
    <mergeCell ref="F407:F408"/>
    <mergeCell ref="G407:G408"/>
    <mergeCell ref="P403:P404"/>
    <mergeCell ref="S403:S404"/>
    <mergeCell ref="A405:A406"/>
    <mergeCell ref="B405:B406"/>
    <mergeCell ref="C405:C406"/>
    <mergeCell ref="D405:D406"/>
    <mergeCell ref="E405:E406"/>
    <mergeCell ref="F405:F406"/>
    <mergeCell ref="G405:G406"/>
    <mergeCell ref="G403:G404"/>
    <mergeCell ref="J403:J404"/>
    <mergeCell ref="M403:M404"/>
    <mergeCell ref="N403:N404"/>
    <mergeCell ref="O403:O404"/>
    <mergeCell ref="P401:P402"/>
    <mergeCell ref="S401:S402"/>
    <mergeCell ref="A403:A404"/>
    <mergeCell ref="B403:B404"/>
    <mergeCell ref="C403:C404"/>
    <mergeCell ref="D403:D404"/>
    <mergeCell ref="E403:E404"/>
    <mergeCell ref="F403:F404"/>
    <mergeCell ref="S399:S400"/>
    <mergeCell ref="AB399:AB400"/>
    <mergeCell ref="AE399:AE400"/>
    <mergeCell ref="A401:A402"/>
    <mergeCell ref="B401:B402"/>
    <mergeCell ref="C401:C402"/>
    <mergeCell ref="D401:D402"/>
    <mergeCell ref="E401:E402"/>
    <mergeCell ref="F401:F402"/>
    <mergeCell ref="G401:G402"/>
    <mergeCell ref="J399:J400"/>
    <mergeCell ref="M399:M400"/>
    <mergeCell ref="P399:P400"/>
    <mergeCell ref="H403:H404"/>
    <mergeCell ref="I403:I404"/>
    <mergeCell ref="Z399:Z400"/>
    <mergeCell ref="AA399:AA400"/>
    <mergeCell ref="J395:J396"/>
    <mergeCell ref="M395:M396"/>
    <mergeCell ref="A399:A400"/>
    <mergeCell ref="B399:B400"/>
    <mergeCell ref="C399:C400"/>
    <mergeCell ref="D399:D400"/>
    <mergeCell ref="E399:E400"/>
    <mergeCell ref="F399:F400"/>
    <mergeCell ref="G399:G400"/>
    <mergeCell ref="AA393:AA394"/>
    <mergeCell ref="A395:A396"/>
    <mergeCell ref="B395:B396"/>
    <mergeCell ref="C395:C396"/>
    <mergeCell ref="D395:D396"/>
    <mergeCell ref="E395:E396"/>
    <mergeCell ref="F395:F396"/>
    <mergeCell ref="G395:G396"/>
    <mergeCell ref="H395:H396"/>
    <mergeCell ref="I395:I396"/>
    <mergeCell ref="G393:G394"/>
    <mergeCell ref="P393:P394"/>
    <mergeCell ref="S393:S394"/>
    <mergeCell ref="Z393:Z394"/>
    <mergeCell ref="Z391:Z392"/>
    <mergeCell ref="AA391:AA392"/>
    <mergeCell ref="A393:A394"/>
    <mergeCell ref="B393:B394"/>
    <mergeCell ref="C393:C394"/>
    <mergeCell ref="D393:D394"/>
    <mergeCell ref="E393:E394"/>
    <mergeCell ref="F393:F394"/>
    <mergeCell ref="AA389:AA390"/>
    <mergeCell ref="AB389:AB390"/>
    <mergeCell ref="AE389:AE390"/>
    <mergeCell ref="A391:A392"/>
    <mergeCell ref="B391:B392"/>
    <mergeCell ref="C391:C392"/>
    <mergeCell ref="D391:D392"/>
    <mergeCell ref="E391:E392"/>
    <mergeCell ref="F391:F392"/>
    <mergeCell ref="G391:G392"/>
    <mergeCell ref="G389:G390"/>
    <mergeCell ref="H389:H390"/>
    <mergeCell ref="I389:I390"/>
    <mergeCell ref="J389:J390"/>
    <mergeCell ref="M389:M390"/>
    <mergeCell ref="Z389:Z390"/>
    <mergeCell ref="J387:J388"/>
    <mergeCell ref="M387:M388"/>
    <mergeCell ref="A389:A390"/>
    <mergeCell ref="B389:B390"/>
    <mergeCell ref="C389:C390"/>
    <mergeCell ref="D389:D390"/>
    <mergeCell ref="E389:E390"/>
    <mergeCell ref="F389:F390"/>
    <mergeCell ref="I385:I386"/>
    <mergeCell ref="J385:J386"/>
    <mergeCell ref="M385:M386"/>
    <mergeCell ref="A387:A388"/>
    <mergeCell ref="B387:B388"/>
    <mergeCell ref="C387:C388"/>
    <mergeCell ref="D387:D388"/>
    <mergeCell ref="E387:E388"/>
    <mergeCell ref="F387:F388"/>
    <mergeCell ref="G387:G388"/>
    <mergeCell ref="H387:H388"/>
    <mergeCell ref="I387:I388"/>
    <mergeCell ref="AB383:AB384"/>
    <mergeCell ref="AE383:AE384"/>
    <mergeCell ref="A385:A386"/>
    <mergeCell ref="B385:B386"/>
    <mergeCell ref="C385:C386"/>
    <mergeCell ref="D385:D386"/>
    <mergeCell ref="E385:E386"/>
    <mergeCell ref="F385:F386"/>
    <mergeCell ref="G385:G386"/>
    <mergeCell ref="H385:H386"/>
    <mergeCell ref="J383:J384"/>
    <mergeCell ref="M383:M384"/>
    <mergeCell ref="Z383:Z384"/>
    <mergeCell ref="AA383:AA384"/>
    <mergeCell ref="I381:I382"/>
    <mergeCell ref="J381:J382"/>
    <mergeCell ref="M381:M382"/>
    <mergeCell ref="A383:A384"/>
    <mergeCell ref="B383:B384"/>
    <mergeCell ref="C383:C384"/>
    <mergeCell ref="D383:D384"/>
    <mergeCell ref="E383:E384"/>
    <mergeCell ref="F383:F384"/>
    <mergeCell ref="G383:G384"/>
    <mergeCell ref="J379:J380"/>
    <mergeCell ref="M379:M380"/>
    <mergeCell ref="A381:A382"/>
    <mergeCell ref="B381:B382"/>
    <mergeCell ref="C381:C382"/>
    <mergeCell ref="D381:D382"/>
    <mergeCell ref="E381:E382"/>
    <mergeCell ref="F381:F382"/>
    <mergeCell ref="G381:G382"/>
    <mergeCell ref="H381:H382"/>
    <mergeCell ref="S377:S378"/>
    <mergeCell ref="A379:A380"/>
    <mergeCell ref="B379:B380"/>
    <mergeCell ref="C379:C380"/>
    <mergeCell ref="D379:D380"/>
    <mergeCell ref="E379:E380"/>
    <mergeCell ref="F379:F380"/>
    <mergeCell ref="G379:G380"/>
    <mergeCell ref="H379:H380"/>
    <mergeCell ref="I379:I380"/>
    <mergeCell ref="G377:G378"/>
    <mergeCell ref="J377:J378"/>
    <mergeCell ref="M377:M378"/>
    <mergeCell ref="P377:P378"/>
    <mergeCell ref="A377:A378"/>
    <mergeCell ref="B377:B378"/>
    <mergeCell ref="C377:C378"/>
    <mergeCell ref="D377:D378"/>
    <mergeCell ref="E377:E378"/>
    <mergeCell ref="F377:F378"/>
    <mergeCell ref="N377:N378"/>
    <mergeCell ref="O377:O378"/>
    <mergeCell ref="F375:F376"/>
    <mergeCell ref="G375:G376"/>
    <mergeCell ref="H375:H376"/>
    <mergeCell ref="I375:I376"/>
    <mergeCell ref="J375:J376"/>
    <mergeCell ref="M375:M376"/>
    <mergeCell ref="G373:G374"/>
    <mergeCell ref="H373:H374"/>
    <mergeCell ref="I373:I374"/>
    <mergeCell ref="J373:J374"/>
    <mergeCell ref="M373:M374"/>
    <mergeCell ref="A375:A376"/>
    <mergeCell ref="B375:B376"/>
    <mergeCell ref="C375:C376"/>
    <mergeCell ref="D375:D376"/>
    <mergeCell ref="E375:E376"/>
    <mergeCell ref="A373:A374"/>
    <mergeCell ref="B373:B374"/>
    <mergeCell ref="C373:C374"/>
    <mergeCell ref="D373:D374"/>
    <mergeCell ref="E373:E374"/>
    <mergeCell ref="F373:F374"/>
    <mergeCell ref="F371:F372"/>
    <mergeCell ref="G371:G372"/>
    <mergeCell ref="H371:H372"/>
    <mergeCell ref="I371:I372"/>
    <mergeCell ref="J371:J372"/>
    <mergeCell ref="M371:M372"/>
    <mergeCell ref="J369:J370"/>
    <mergeCell ref="M369:M370"/>
    <mergeCell ref="P369:P370"/>
    <mergeCell ref="S369:S370"/>
    <mergeCell ref="A371:A372"/>
    <mergeCell ref="B371:B372"/>
    <mergeCell ref="C371:C372"/>
    <mergeCell ref="D371:D372"/>
    <mergeCell ref="E371:E372"/>
    <mergeCell ref="J367:J368"/>
    <mergeCell ref="M367:M368"/>
    <mergeCell ref="A369:A370"/>
    <mergeCell ref="B369:B370"/>
    <mergeCell ref="C369:C370"/>
    <mergeCell ref="D369:D370"/>
    <mergeCell ref="E369:E370"/>
    <mergeCell ref="F369:F370"/>
    <mergeCell ref="G369:G370"/>
    <mergeCell ref="S365:S366"/>
    <mergeCell ref="A367:A368"/>
    <mergeCell ref="B367:B368"/>
    <mergeCell ref="C367:C368"/>
    <mergeCell ref="D367:D368"/>
    <mergeCell ref="E367:E368"/>
    <mergeCell ref="F367:F368"/>
    <mergeCell ref="G367:G368"/>
    <mergeCell ref="H367:H368"/>
    <mergeCell ref="I367:I368"/>
    <mergeCell ref="G365:G366"/>
    <mergeCell ref="J365:J366"/>
    <mergeCell ref="M365:M366"/>
    <mergeCell ref="P365:P366"/>
    <mergeCell ref="A365:A366"/>
    <mergeCell ref="B365:B366"/>
    <mergeCell ref="C365:C366"/>
    <mergeCell ref="D365:D366"/>
    <mergeCell ref="E365:E366"/>
    <mergeCell ref="F365:F366"/>
    <mergeCell ref="F363:F364"/>
    <mergeCell ref="G363:G364"/>
    <mergeCell ref="H363:H364"/>
    <mergeCell ref="I363:I364"/>
    <mergeCell ref="J363:J364"/>
    <mergeCell ref="M363:M364"/>
    <mergeCell ref="G361:G362"/>
    <mergeCell ref="H361:H362"/>
    <mergeCell ref="I361:I362"/>
    <mergeCell ref="J361:J362"/>
    <mergeCell ref="M361:M362"/>
    <mergeCell ref="A363:A364"/>
    <mergeCell ref="B363:B364"/>
    <mergeCell ref="C363:C364"/>
    <mergeCell ref="D363:D364"/>
    <mergeCell ref="E363:E364"/>
    <mergeCell ref="A361:A362"/>
    <mergeCell ref="B361:B362"/>
    <mergeCell ref="C361:C362"/>
    <mergeCell ref="D361:D362"/>
    <mergeCell ref="E361:E362"/>
    <mergeCell ref="F361:F362"/>
    <mergeCell ref="G357:G359"/>
    <mergeCell ref="H357:H358"/>
    <mergeCell ref="I357:I358"/>
    <mergeCell ref="J357:J358"/>
    <mergeCell ref="M357:M358"/>
    <mergeCell ref="G355:G356"/>
    <mergeCell ref="J355:J356"/>
    <mergeCell ref="M355:M356"/>
    <mergeCell ref="A357:A359"/>
    <mergeCell ref="B357:B359"/>
    <mergeCell ref="C357:C359"/>
    <mergeCell ref="D357:D359"/>
    <mergeCell ref="E357:E359"/>
    <mergeCell ref="F357:F359"/>
    <mergeCell ref="A355:A356"/>
    <mergeCell ref="B355:B356"/>
    <mergeCell ref="C355:C356"/>
    <mergeCell ref="D355:D356"/>
    <mergeCell ref="E355:E356"/>
    <mergeCell ref="F355:F356"/>
    <mergeCell ref="H355:H356"/>
    <mergeCell ref="I355:I356"/>
    <mergeCell ref="F353:F354"/>
    <mergeCell ref="G353:G354"/>
    <mergeCell ref="AF353:AF354"/>
    <mergeCell ref="AG353:AG354"/>
    <mergeCell ref="AH353:AH354"/>
    <mergeCell ref="AK353:AK354"/>
    <mergeCell ref="G351:G352"/>
    <mergeCell ref="Z351:Z352"/>
    <mergeCell ref="AA351:AA352"/>
    <mergeCell ref="AB351:AB352"/>
    <mergeCell ref="AE351:AE352"/>
    <mergeCell ref="A353:A354"/>
    <mergeCell ref="B353:B354"/>
    <mergeCell ref="C353:C354"/>
    <mergeCell ref="D353:D354"/>
    <mergeCell ref="E353:E354"/>
    <mergeCell ref="AB349:AB350"/>
    <mergeCell ref="AE349:AE350"/>
    <mergeCell ref="AH349:AH350"/>
    <mergeCell ref="AK349:AK350"/>
    <mergeCell ref="A351:A352"/>
    <mergeCell ref="B351:B352"/>
    <mergeCell ref="C351:C352"/>
    <mergeCell ref="D351:D352"/>
    <mergeCell ref="E351:E352"/>
    <mergeCell ref="F351:F352"/>
    <mergeCell ref="A349:A350"/>
    <mergeCell ref="B349:B350"/>
    <mergeCell ref="C349:C350"/>
    <mergeCell ref="D349:D350"/>
    <mergeCell ref="E349:E350"/>
    <mergeCell ref="F349:F350"/>
    <mergeCell ref="G349:G350"/>
    <mergeCell ref="Z349:Z350"/>
    <mergeCell ref="AA349:AA350"/>
    <mergeCell ref="G347:G348"/>
    <mergeCell ref="AF347:AG348"/>
    <mergeCell ref="AH347:AH348"/>
    <mergeCell ref="AK347:AK348"/>
    <mergeCell ref="AL347:AM348"/>
    <mergeCell ref="A347:A348"/>
    <mergeCell ref="B347:B348"/>
    <mergeCell ref="C347:C348"/>
    <mergeCell ref="D347:D348"/>
    <mergeCell ref="E347:E348"/>
    <mergeCell ref="F347:F348"/>
    <mergeCell ref="Z342:AA343"/>
    <mergeCell ref="AB342:AB343"/>
    <mergeCell ref="AC342:AC343"/>
    <mergeCell ref="AD342:AD343"/>
    <mergeCell ref="AE342:AE343"/>
    <mergeCell ref="Z344:AA344"/>
    <mergeCell ref="F342:F343"/>
    <mergeCell ref="G342:G343"/>
    <mergeCell ref="H342:H343"/>
    <mergeCell ref="I342:I343"/>
    <mergeCell ref="J342:J343"/>
    <mergeCell ref="M342:M343"/>
    <mergeCell ref="G340:G341"/>
    <mergeCell ref="H340:H341"/>
    <mergeCell ref="I340:I341"/>
    <mergeCell ref="J340:J341"/>
    <mergeCell ref="M340:M341"/>
    <mergeCell ref="A342:A343"/>
    <mergeCell ref="B342:B343"/>
    <mergeCell ref="C342:C343"/>
    <mergeCell ref="D342:D343"/>
    <mergeCell ref="E342:E343"/>
    <mergeCell ref="P338:P339"/>
    <mergeCell ref="Q338:Q339"/>
    <mergeCell ref="R338:R339"/>
    <mergeCell ref="S338:S339"/>
    <mergeCell ref="A340:A341"/>
    <mergeCell ref="B340:B341"/>
    <mergeCell ref="C340:C341"/>
    <mergeCell ref="D340:D341"/>
    <mergeCell ref="E340:E341"/>
    <mergeCell ref="F340:F341"/>
    <mergeCell ref="G338:G339"/>
    <mergeCell ref="H338:H339"/>
    <mergeCell ref="I338:I339"/>
    <mergeCell ref="J338:J339"/>
    <mergeCell ref="M338:M339"/>
    <mergeCell ref="A338:A339"/>
    <mergeCell ref="B338:B339"/>
    <mergeCell ref="C338:C339"/>
    <mergeCell ref="D338:D339"/>
    <mergeCell ref="E338:E339"/>
    <mergeCell ref="F338:F339"/>
    <mergeCell ref="F336:F337"/>
    <mergeCell ref="G336:G337"/>
    <mergeCell ref="H336:H337"/>
    <mergeCell ref="I336:I337"/>
    <mergeCell ref="J336:J337"/>
    <mergeCell ref="M336:M337"/>
    <mergeCell ref="G334:G335"/>
    <mergeCell ref="H334:H335"/>
    <mergeCell ref="I334:I335"/>
    <mergeCell ref="J334:J335"/>
    <mergeCell ref="M334:M335"/>
    <mergeCell ref="A336:A337"/>
    <mergeCell ref="B336:B337"/>
    <mergeCell ref="C336:C337"/>
    <mergeCell ref="D336:D337"/>
    <mergeCell ref="E336:E337"/>
    <mergeCell ref="A334:A335"/>
    <mergeCell ref="B334:B335"/>
    <mergeCell ref="C334:C335"/>
    <mergeCell ref="D334:D335"/>
    <mergeCell ref="E334:E335"/>
    <mergeCell ref="F334:F335"/>
    <mergeCell ref="F332:F333"/>
    <mergeCell ref="G332:G333"/>
    <mergeCell ref="H332:H333"/>
    <mergeCell ref="I332:I333"/>
    <mergeCell ref="J332:J333"/>
    <mergeCell ref="M332:M333"/>
    <mergeCell ref="G330:G331"/>
    <mergeCell ref="H330:H331"/>
    <mergeCell ref="J330:J331"/>
    <mergeCell ref="M330:M331"/>
    <mergeCell ref="A332:A333"/>
    <mergeCell ref="B332:B333"/>
    <mergeCell ref="C332:C333"/>
    <mergeCell ref="D332:D333"/>
    <mergeCell ref="E332:E333"/>
    <mergeCell ref="G328:G329"/>
    <mergeCell ref="H328:H329"/>
    <mergeCell ref="J328:J329"/>
    <mergeCell ref="M328:M329"/>
    <mergeCell ref="A330:A331"/>
    <mergeCell ref="B330:B331"/>
    <mergeCell ref="C330:C331"/>
    <mergeCell ref="D330:D331"/>
    <mergeCell ref="E330:E331"/>
    <mergeCell ref="F330:F331"/>
    <mergeCell ref="A328:A329"/>
    <mergeCell ref="B328:B329"/>
    <mergeCell ref="C328:C329"/>
    <mergeCell ref="D328:D329"/>
    <mergeCell ref="E328:E329"/>
    <mergeCell ref="F328:F329"/>
    <mergeCell ref="I328:I329"/>
    <mergeCell ref="F326:F327"/>
    <mergeCell ref="G326:G327"/>
    <mergeCell ref="P326:P327"/>
    <mergeCell ref="S326:S327"/>
    <mergeCell ref="G324:G325"/>
    <mergeCell ref="H324:H325"/>
    <mergeCell ref="I324:I325"/>
    <mergeCell ref="J324:J325"/>
    <mergeCell ref="M324:M325"/>
    <mergeCell ref="A326:A327"/>
    <mergeCell ref="B326:B327"/>
    <mergeCell ref="C326:C327"/>
    <mergeCell ref="D326:D327"/>
    <mergeCell ref="E326:E327"/>
    <mergeCell ref="Z318:Z319"/>
    <mergeCell ref="N326:N327"/>
    <mergeCell ref="O326:O327"/>
    <mergeCell ref="AA318:AA319"/>
    <mergeCell ref="AB318:AB319"/>
    <mergeCell ref="AE318:AE319"/>
    <mergeCell ref="A324:A325"/>
    <mergeCell ref="B324:B325"/>
    <mergeCell ref="C324:C325"/>
    <mergeCell ref="D324:D325"/>
    <mergeCell ref="E324:E325"/>
    <mergeCell ref="F324:F325"/>
    <mergeCell ref="J316:J317"/>
    <mergeCell ref="M316:M317"/>
    <mergeCell ref="A318:A319"/>
    <mergeCell ref="B318:B319"/>
    <mergeCell ref="C318:C319"/>
    <mergeCell ref="D318:D319"/>
    <mergeCell ref="E318:E319"/>
    <mergeCell ref="F318:F319"/>
    <mergeCell ref="G318:G319"/>
    <mergeCell ref="AN313:AN314"/>
    <mergeCell ref="AQ313:AQ314"/>
    <mergeCell ref="A316:A317"/>
    <mergeCell ref="B316:B317"/>
    <mergeCell ref="C316:C317"/>
    <mergeCell ref="D316:D317"/>
    <mergeCell ref="E316:E317"/>
    <mergeCell ref="F316:F317"/>
    <mergeCell ref="G316:G317"/>
    <mergeCell ref="F313:F314"/>
    <mergeCell ref="G313:G314"/>
    <mergeCell ref="J313:J314"/>
    <mergeCell ref="M313:M314"/>
    <mergeCell ref="A313:A314"/>
    <mergeCell ref="B313:B314"/>
    <mergeCell ref="C313:C314"/>
    <mergeCell ref="D313:D314"/>
    <mergeCell ref="E313:E314"/>
    <mergeCell ref="F311:F312"/>
    <mergeCell ref="G311:G312"/>
    <mergeCell ref="H311:H312"/>
    <mergeCell ref="I311:I312"/>
    <mergeCell ref="J311:J312"/>
    <mergeCell ref="M311:M312"/>
    <mergeCell ref="G309:G310"/>
    <mergeCell ref="H309:H310"/>
    <mergeCell ref="I309:I310"/>
    <mergeCell ref="J309:J310"/>
    <mergeCell ref="M309:M310"/>
    <mergeCell ref="A311:A312"/>
    <mergeCell ref="B311:B312"/>
    <mergeCell ref="C311:C312"/>
    <mergeCell ref="D311:D312"/>
    <mergeCell ref="E311:E312"/>
    <mergeCell ref="G305:G306"/>
    <mergeCell ref="J305:J306"/>
    <mergeCell ref="M305:M306"/>
    <mergeCell ref="A309:A310"/>
    <mergeCell ref="B309:B310"/>
    <mergeCell ref="C309:C310"/>
    <mergeCell ref="D309:D310"/>
    <mergeCell ref="E309:E310"/>
    <mergeCell ref="F309:F310"/>
    <mergeCell ref="AL300:AL301"/>
    <mergeCell ref="AM300:AM301"/>
    <mergeCell ref="AN300:AN301"/>
    <mergeCell ref="AQ300:AQ301"/>
    <mergeCell ref="A305:A306"/>
    <mergeCell ref="B305:B306"/>
    <mergeCell ref="C305:C306"/>
    <mergeCell ref="D305:D306"/>
    <mergeCell ref="E305:E306"/>
    <mergeCell ref="F305:F306"/>
    <mergeCell ref="F300:F301"/>
    <mergeCell ref="G300:G301"/>
    <mergeCell ref="H300:H301"/>
    <mergeCell ref="I300:I301"/>
    <mergeCell ref="J300:J301"/>
    <mergeCell ref="M300:M301"/>
    <mergeCell ref="F296:F297"/>
    <mergeCell ref="G296:G297"/>
    <mergeCell ref="J296:J297"/>
    <mergeCell ref="M296:M297"/>
    <mergeCell ref="A300:A301"/>
    <mergeCell ref="B300:B301"/>
    <mergeCell ref="C300:C301"/>
    <mergeCell ref="D300:D301"/>
    <mergeCell ref="E300:E301"/>
    <mergeCell ref="H305:H306"/>
    <mergeCell ref="I305:I306"/>
    <mergeCell ref="G294:G295"/>
    <mergeCell ref="P294:P295"/>
    <mergeCell ref="S294:S295"/>
    <mergeCell ref="A296:A297"/>
    <mergeCell ref="B296:B297"/>
    <mergeCell ref="C296:C297"/>
    <mergeCell ref="D296:D297"/>
    <mergeCell ref="E296:E297"/>
    <mergeCell ref="T292:T293"/>
    <mergeCell ref="U292:U293"/>
    <mergeCell ref="V292:V293"/>
    <mergeCell ref="Y292:Y293"/>
    <mergeCell ref="A294:A295"/>
    <mergeCell ref="B294:B295"/>
    <mergeCell ref="C294:C295"/>
    <mergeCell ref="D294:D295"/>
    <mergeCell ref="E294:E295"/>
    <mergeCell ref="F294:F295"/>
    <mergeCell ref="F292:F293"/>
    <mergeCell ref="G292:G293"/>
    <mergeCell ref="H292:H293"/>
    <mergeCell ref="I292:I293"/>
    <mergeCell ref="J292:J293"/>
    <mergeCell ref="M292:M293"/>
    <mergeCell ref="I296:I297"/>
    <mergeCell ref="H296:H297"/>
    <mergeCell ref="G290:G291"/>
    <mergeCell ref="H290:H291"/>
    <mergeCell ref="I290:I291"/>
    <mergeCell ref="J290:J291"/>
    <mergeCell ref="M290:M291"/>
    <mergeCell ref="A292:A293"/>
    <mergeCell ref="B292:B293"/>
    <mergeCell ref="C292:C293"/>
    <mergeCell ref="D292:D293"/>
    <mergeCell ref="E292:E293"/>
    <mergeCell ref="J286:J287"/>
    <mergeCell ref="M286:M287"/>
    <mergeCell ref="A290:A291"/>
    <mergeCell ref="B290:B291"/>
    <mergeCell ref="C290:C291"/>
    <mergeCell ref="D290:D291"/>
    <mergeCell ref="E290:E291"/>
    <mergeCell ref="F290:F291"/>
    <mergeCell ref="Q284:Q285"/>
    <mergeCell ref="R284:R285"/>
    <mergeCell ref="S284:S285"/>
    <mergeCell ref="A286:A287"/>
    <mergeCell ref="B286:B287"/>
    <mergeCell ref="C286:C287"/>
    <mergeCell ref="D286:D287"/>
    <mergeCell ref="E286:E287"/>
    <mergeCell ref="F286:F287"/>
    <mergeCell ref="G286:G287"/>
    <mergeCell ref="G284:G285"/>
    <mergeCell ref="J284:J285"/>
    <mergeCell ref="M284:M285"/>
    <mergeCell ref="P284:P285"/>
    <mergeCell ref="A284:A285"/>
    <mergeCell ref="B284:B285"/>
    <mergeCell ref="C284:C285"/>
    <mergeCell ref="D284:D285"/>
    <mergeCell ref="E284:E285"/>
    <mergeCell ref="F284:F285"/>
    <mergeCell ref="H284:H285"/>
    <mergeCell ref="I284:I285"/>
    <mergeCell ref="H286:H287"/>
    <mergeCell ref="I286:I287"/>
    <mergeCell ref="F282:F283"/>
    <mergeCell ref="G282:G283"/>
    <mergeCell ref="H282:H283"/>
    <mergeCell ref="I282:I283"/>
    <mergeCell ref="J282:J283"/>
    <mergeCell ref="M282:M283"/>
    <mergeCell ref="G280:G281"/>
    <mergeCell ref="H280:H281"/>
    <mergeCell ref="I280:I281"/>
    <mergeCell ref="J280:J281"/>
    <mergeCell ref="M280:M281"/>
    <mergeCell ref="A282:A283"/>
    <mergeCell ref="B282:B283"/>
    <mergeCell ref="C282:C283"/>
    <mergeCell ref="D282:D283"/>
    <mergeCell ref="E282:E283"/>
    <mergeCell ref="A280:A281"/>
    <mergeCell ref="B280:B281"/>
    <mergeCell ref="C280:C281"/>
    <mergeCell ref="D280:D281"/>
    <mergeCell ref="E280:E281"/>
    <mergeCell ref="F280:F281"/>
    <mergeCell ref="F278:F279"/>
    <mergeCell ref="G278:G279"/>
    <mergeCell ref="H278:H279"/>
    <mergeCell ref="I278:I279"/>
    <mergeCell ref="J278:J279"/>
    <mergeCell ref="M278:M279"/>
    <mergeCell ref="G276:G277"/>
    <mergeCell ref="H276:H277"/>
    <mergeCell ref="I276:I277"/>
    <mergeCell ref="J276:J277"/>
    <mergeCell ref="M276:M277"/>
    <mergeCell ref="A278:A279"/>
    <mergeCell ref="B278:B279"/>
    <mergeCell ref="C278:C279"/>
    <mergeCell ref="D278:D279"/>
    <mergeCell ref="E278:E279"/>
    <mergeCell ref="A276:A277"/>
    <mergeCell ref="B276:B277"/>
    <mergeCell ref="C276:C277"/>
    <mergeCell ref="D276:D277"/>
    <mergeCell ref="E276:E277"/>
    <mergeCell ref="F276:F277"/>
    <mergeCell ref="F274:F275"/>
    <mergeCell ref="G274:G275"/>
    <mergeCell ref="H274:H275"/>
    <mergeCell ref="I274:I275"/>
    <mergeCell ref="J274:J275"/>
    <mergeCell ref="M274:M275"/>
    <mergeCell ref="G272:G273"/>
    <mergeCell ref="J272:J273"/>
    <mergeCell ref="M272:M273"/>
    <mergeCell ref="A274:A275"/>
    <mergeCell ref="B274:B275"/>
    <mergeCell ref="C274:C275"/>
    <mergeCell ref="D274:D275"/>
    <mergeCell ref="E274:E275"/>
    <mergeCell ref="A272:A273"/>
    <mergeCell ref="B272:B273"/>
    <mergeCell ref="C272:C273"/>
    <mergeCell ref="D272:D273"/>
    <mergeCell ref="E272:E273"/>
    <mergeCell ref="F272:F273"/>
    <mergeCell ref="G267:G270"/>
    <mergeCell ref="H267:H268"/>
    <mergeCell ref="I267:I268"/>
    <mergeCell ref="J267:J268"/>
    <mergeCell ref="M267:M268"/>
    <mergeCell ref="H269:H270"/>
    <mergeCell ref="I269:I270"/>
    <mergeCell ref="J269:J270"/>
    <mergeCell ref="M269:M270"/>
    <mergeCell ref="A267:A270"/>
    <mergeCell ref="B267:B270"/>
    <mergeCell ref="C267:C270"/>
    <mergeCell ref="D267:D270"/>
    <mergeCell ref="E267:E270"/>
    <mergeCell ref="F267:F270"/>
    <mergeCell ref="F265:F266"/>
    <mergeCell ref="G265:G266"/>
    <mergeCell ref="H265:H266"/>
    <mergeCell ref="I265:I266"/>
    <mergeCell ref="J265:J266"/>
    <mergeCell ref="M265:M266"/>
    <mergeCell ref="G263:G264"/>
    <mergeCell ref="Z263:Z264"/>
    <mergeCell ref="AA263:AA264"/>
    <mergeCell ref="AB263:AB264"/>
    <mergeCell ref="AE263:AE264"/>
    <mergeCell ref="A265:A266"/>
    <mergeCell ref="B265:B266"/>
    <mergeCell ref="C265:C266"/>
    <mergeCell ref="D265:D266"/>
    <mergeCell ref="E265:E266"/>
    <mergeCell ref="H261:H262"/>
    <mergeCell ref="I261:I262"/>
    <mergeCell ref="J261:J262"/>
    <mergeCell ref="M261:M262"/>
    <mergeCell ref="A263:A264"/>
    <mergeCell ref="B263:B264"/>
    <mergeCell ref="C263:C264"/>
    <mergeCell ref="D263:D264"/>
    <mergeCell ref="E263:E264"/>
    <mergeCell ref="F263:F264"/>
    <mergeCell ref="AA259:AA260"/>
    <mergeCell ref="A261:A262"/>
    <mergeCell ref="B261:B262"/>
    <mergeCell ref="C261:C262"/>
    <mergeCell ref="D261:D262"/>
    <mergeCell ref="E261:E262"/>
    <mergeCell ref="F261:F262"/>
    <mergeCell ref="G261:G262"/>
    <mergeCell ref="AB257:AB258"/>
    <mergeCell ref="AE257:AE258"/>
    <mergeCell ref="A259:A260"/>
    <mergeCell ref="B259:B260"/>
    <mergeCell ref="C259:C260"/>
    <mergeCell ref="D259:D260"/>
    <mergeCell ref="E259:E260"/>
    <mergeCell ref="F259:F260"/>
    <mergeCell ref="G259:G260"/>
    <mergeCell ref="Z259:Z260"/>
    <mergeCell ref="P257:P258"/>
    <mergeCell ref="S257:S258"/>
    <mergeCell ref="Z257:Z258"/>
    <mergeCell ref="AA257:AA258"/>
    <mergeCell ref="AA255:AA256"/>
    <mergeCell ref="AB255:AB256"/>
    <mergeCell ref="AE255:AE256"/>
    <mergeCell ref="A257:A258"/>
    <mergeCell ref="B257:B258"/>
    <mergeCell ref="C257:C258"/>
    <mergeCell ref="D257:D258"/>
    <mergeCell ref="E257:E258"/>
    <mergeCell ref="F257:F258"/>
    <mergeCell ref="G257:G258"/>
    <mergeCell ref="G255:G256"/>
    <mergeCell ref="H255:H256"/>
    <mergeCell ref="I255:I256"/>
    <mergeCell ref="J255:J256"/>
    <mergeCell ref="M255:M256"/>
    <mergeCell ref="Z255:Z256"/>
    <mergeCell ref="Z253:Z254"/>
    <mergeCell ref="AA253:AA254"/>
    <mergeCell ref="AB253:AB254"/>
    <mergeCell ref="AE253:AE254"/>
    <mergeCell ref="A255:A256"/>
    <mergeCell ref="B255:B256"/>
    <mergeCell ref="C255:C256"/>
    <mergeCell ref="D255:D256"/>
    <mergeCell ref="E255:E256"/>
    <mergeCell ref="F255:F256"/>
    <mergeCell ref="F253:F254"/>
    <mergeCell ref="G253:G254"/>
    <mergeCell ref="H253:H254"/>
    <mergeCell ref="I253:I254"/>
    <mergeCell ref="J253:J254"/>
    <mergeCell ref="M253:M254"/>
    <mergeCell ref="G251:G252"/>
    <mergeCell ref="Z251:Z252"/>
    <mergeCell ref="AA251:AA252"/>
    <mergeCell ref="AB251:AB252"/>
    <mergeCell ref="AE251:AE252"/>
    <mergeCell ref="A253:A254"/>
    <mergeCell ref="B253:B254"/>
    <mergeCell ref="C253:C254"/>
    <mergeCell ref="D253:D254"/>
    <mergeCell ref="E253:E254"/>
    <mergeCell ref="A251:A252"/>
    <mergeCell ref="B251:B252"/>
    <mergeCell ref="C251:C252"/>
    <mergeCell ref="D251:D252"/>
    <mergeCell ref="E251:E252"/>
    <mergeCell ref="F251:F252"/>
    <mergeCell ref="G248:G249"/>
    <mergeCell ref="P248:P249"/>
    <mergeCell ref="S248:S249"/>
    <mergeCell ref="N248:N249"/>
    <mergeCell ref="O248:O249"/>
    <mergeCell ref="AL248:AM248"/>
    <mergeCell ref="A248:A249"/>
    <mergeCell ref="B248:B249"/>
    <mergeCell ref="C248:C249"/>
    <mergeCell ref="D248:D249"/>
    <mergeCell ref="E248:E249"/>
    <mergeCell ref="F248:F249"/>
    <mergeCell ref="F245:F246"/>
    <mergeCell ref="G245:G246"/>
    <mergeCell ref="H245:H246"/>
    <mergeCell ref="I245:I246"/>
    <mergeCell ref="J245:J246"/>
    <mergeCell ref="M245:M246"/>
    <mergeCell ref="G242:G243"/>
    <mergeCell ref="P242:P243"/>
    <mergeCell ref="S242:S243"/>
    <mergeCell ref="A245:A246"/>
    <mergeCell ref="B245:B246"/>
    <mergeCell ref="C245:C246"/>
    <mergeCell ref="D245:D246"/>
    <mergeCell ref="E245:E246"/>
    <mergeCell ref="A242:A243"/>
    <mergeCell ref="B242:B243"/>
    <mergeCell ref="C242:C243"/>
    <mergeCell ref="D242:D243"/>
    <mergeCell ref="E242:E243"/>
    <mergeCell ref="F242:F243"/>
    <mergeCell ref="N242:N243"/>
    <mergeCell ref="O242:O243"/>
    <mergeCell ref="J236:J237"/>
    <mergeCell ref="M236:M237"/>
    <mergeCell ref="Z239:AA239"/>
    <mergeCell ref="AN231:AN232"/>
    <mergeCell ref="AQ231:AQ232"/>
    <mergeCell ref="A236:A237"/>
    <mergeCell ref="B236:B237"/>
    <mergeCell ref="C236:C237"/>
    <mergeCell ref="D236:D237"/>
    <mergeCell ref="E236:E237"/>
    <mergeCell ref="F236:F237"/>
    <mergeCell ref="G236:G237"/>
    <mergeCell ref="H236:H237"/>
    <mergeCell ref="P231:P232"/>
    <mergeCell ref="S231:S232"/>
    <mergeCell ref="T231:U231"/>
    <mergeCell ref="AL231:AL232"/>
    <mergeCell ref="AM231:AM232"/>
    <mergeCell ref="I236:I237"/>
    <mergeCell ref="AM228:AM229"/>
    <mergeCell ref="AN228:AN229"/>
    <mergeCell ref="AQ228:AQ229"/>
    <mergeCell ref="A231:A232"/>
    <mergeCell ref="B231:B232"/>
    <mergeCell ref="C231:C232"/>
    <mergeCell ref="D231:D232"/>
    <mergeCell ref="E231:E232"/>
    <mergeCell ref="F231:F232"/>
    <mergeCell ref="G231:G232"/>
    <mergeCell ref="P228:P229"/>
    <mergeCell ref="S228:S229"/>
    <mergeCell ref="V228:V229"/>
    <mergeCell ref="Y228:Y229"/>
    <mergeCell ref="AL228:AL229"/>
    <mergeCell ref="F228:F229"/>
    <mergeCell ref="G228:G229"/>
    <mergeCell ref="J228:J229"/>
    <mergeCell ref="M228:M229"/>
    <mergeCell ref="N228:N229"/>
    <mergeCell ref="O228:O229"/>
    <mergeCell ref="T228:T229"/>
    <mergeCell ref="U228:U229"/>
    <mergeCell ref="T217:T218"/>
    <mergeCell ref="A219:A221"/>
    <mergeCell ref="B219:B221"/>
    <mergeCell ref="C219:C221"/>
    <mergeCell ref="D219:D221"/>
    <mergeCell ref="E219:E221"/>
    <mergeCell ref="F219:F221"/>
    <mergeCell ref="F226:F227"/>
    <mergeCell ref="G226:G227"/>
    <mergeCell ref="J226:J227"/>
    <mergeCell ref="M226:M227"/>
    <mergeCell ref="A228:A229"/>
    <mergeCell ref="B228:B229"/>
    <mergeCell ref="C228:C229"/>
    <mergeCell ref="D228:D229"/>
    <mergeCell ref="E228:E229"/>
    <mergeCell ref="G224:G225"/>
    <mergeCell ref="J224:J225"/>
    <mergeCell ref="M224:M225"/>
    <mergeCell ref="A226:A227"/>
    <mergeCell ref="B226:B227"/>
    <mergeCell ref="C226:C227"/>
    <mergeCell ref="D226:D227"/>
    <mergeCell ref="E226:E227"/>
    <mergeCell ref="A224:A225"/>
    <mergeCell ref="B224:B225"/>
    <mergeCell ref="C224:C225"/>
    <mergeCell ref="D224:D225"/>
    <mergeCell ref="E224:E225"/>
    <mergeCell ref="F224:F225"/>
    <mergeCell ref="H226:H227"/>
    <mergeCell ref="I226:I227"/>
    <mergeCell ref="G212:G213"/>
    <mergeCell ref="J212:J213"/>
    <mergeCell ref="M212:M213"/>
    <mergeCell ref="F222:F223"/>
    <mergeCell ref="G222:G223"/>
    <mergeCell ref="H222:H223"/>
    <mergeCell ref="I222:I223"/>
    <mergeCell ref="J222:J223"/>
    <mergeCell ref="M222:M223"/>
    <mergeCell ref="G219:G221"/>
    <mergeCell ref="A222:A223"/>
    <mergeCell ref="B222:B223"/>
    <mergeCell ref="C222:C223"/>
    <mergeCell ref="D222:D223"/>
    <mergeCell ref="E222:E223"/>
    <mergeCell ref="A212:A213"/>
    <mergeCell ref="B212:B213"/>
    <mergeCell ref="C212:C213"/>
    <mergeCell ref="D212:D213"/>
    <mergeCell ref="E212:E213"/>
    <mergeCell ref="F212:F213"/>
    <mergeCell ref="AO204:AO205"/>
    <mergeCell ref="H206:H207"/>
    <mergeCell ref="I206:I207"/>
    <mergeCell ref="U217:U218"/>
    <mergeCell ref="V217:V218"/>
    <mergeCell ref="Y217:Y218"/>
    <mergeCell ref="I208:I209"/>
    <mergeCell ref="J214:J215"/>
    <mergeCell ref="M214:M215"/>
    <mergeCell ref="A217:A218"/>
    <mergeCell ref="B217:B218"/>
    <mergeCell ref="C217:C218"/>
    <mergeCell ref="D217:D218"/>
    <mergeCell ref="E217:E218"/>
    <mergeCell ref="F217:F218"/>
    <mergeCell ref="G217:G218"/>
    <mergeCell ref="A214:A216"/>
    <mergeCell ref="B214:B216"/>
    <mergeCell ref="C214:C216"/>
    <mergeCell ref="D214:D216"/>
    <mergeCell ref="E214:E216"/>
    <mergeCell ref="F214:F216"/>
    <mergeCell ref="G214:G216"/>
    <mergeCell ref="A208:A211"/>
    <mergeCell ref="B208:B211"/>
    <mergeCell ref="C208:C211"/>
    <mergeCell ref="D208:D211"/>
    <mergeCell ref="E208:E211"/>
    <mergeCell ref="F208:F211"/>
    <mergeCell ref="G208:G211"/>
    <mergeCell ref="H208:H209"/>
    <mergeCell ref="S212:S213"/>
    <mergeCell ref="P212:P213"/>
    <mergeCell ref="T202:U202"/>
    <mergeCell ref="Z202:AA202"/>
    <mergeCell ref="A204:A205"/>
    <mergeCell ref="B204:B205"/>
    <mergeCell ref="C204:C205"/>
    <mergeCell ref="T204:T205"/>
    <mergeCell ref="G197:G198"/>
    <mergeCell ref="AL197:AL198"/>
    <mergeCell ref="AM197:AM198"/>
    <mergeCell ref="AN197:AN198"/>
    <mergeCell ref="AQ197:AQ198"/>
    <mergeCell ref="A197:A198"/>
    <mergeCell ref="B197:B198"/>
    <mergeCell ref="C197:C198"/>
    <mergeCell ref="D197:D198"/>
    <mergeCell ref="E197:E198"/>
    <mergeCell ref="F197:F198"/>
    <mergeCell ref="AP204:AP205"/>
    <mergeCell ref="AQ204:AQ205"/>
    <mergeCell ref="A206:A207"/>
    <mergeCell ref="B206:B207"/>
    <mergeCell ref="C206:C207"/>
    <mergeCell ref="D206:D207"/>
    <mergeCell ref="E206:E207"/>
    <mergeCell ref="F206:F207"/>
    <mergeCell ref="G206:G207"/>
    <mergeCell ref="U204:U205"/>
    <mergeCell ref="V204:V205"/>
    <mergeCell ref="Y204:Y205"/>
    <mergeCell ref="AL204:AM205"/>
    <mergeCell ref="AN204:AN205"/>
    <mergeCell ref="T194:U194"/>
    <mergeCell ref="Z194:AA194"/>
    <mergeCell ref="AF194:AG194"/>
    <mergeCell ref="T195:T196"/>
    <mergeCell ref="U195:U196"/>
    <mergeCell ref="V195:V196"/>
    <mergeCell ref="Z195:AA195"/>
    <mergeCell ref="AF195:AG195"/>
    <mergeCell ref="U192:U193"/>
    <mergeCell ref="V192:V193"/>
    <mergeCell ref="Y192:Y193"/>
    <mergeCell ref="A194:A196"/>
    <mergeCell ref="B194:B196"/>
    <mergeCell ref="C194:C196"/>
    <mergeCell ref="D194:D196"/>
    <mergeCell ref="E194:E196"/>
    <mergeCell ref="F194:F196"/>
    <mergeCell ref="G194:G196"/>
    <mergeCell ref="F192:F193"/>
    <mergeCell ref="G192:G193"/>
    <mergeCell ref="M192:M193"/>
    <mergeCell ref="T192:T193"/>
    <mergeCell ref="AF175:AG175"/>
    <mergeCell ref="D182:D184"/>
    <mergeCell ref="E182:E184"/>
    <mergeCell ref="F182:F184"/>
    <mergeCell ref="G190:G191"/>
    <mergeCell ref="T190:T191"/>
    <mergeCell ref="U190:U191"/>
    <mergeCell ref="V190:V191"/>
    <mergeCell ref="Y190:Y191"/>
    <mergeCell ref="A192:A193"/>
    <mergeCell ref="B192:B193"/>
    <mergeCell ref="C192:C193"/>
    <mergeCell ref="D192:D193"/>
    <mergeCell ref="E192:E193"/>
    <mergeCell ref="A190:A191"/>
    <mergeCell ref="B190:B191"/>
    <mergeCell ref="C190:C191"/>
    <mergeCell ref="D190:D191"/>
    <mergeCell ref="E190:E191"/>
    <mergeCell ref="F190:F191"/>
    <mergeCell ref="F188:F189"/>
    <mergeCell ref="G188:G189"/>
    <mergeCell ref="J188:J189"/>
    <mergeCell ref="M188:M189"/>
    <mergeCell ref="A188:A189"/>
    <mergeCell ref="B188:B189"/>
    <mergeCell ref="C188:C189"/>
    <mergeCell ref="D188:D189"/>
    <mergeCell ref="E188:E189"/>
    <mergeCell ref="A182:A187"/>
    <mergeCell ref="B182:B187"/>
    <mergeCell ref="C182:C187"/>
    <mergeCell ref="Z173:AA173"/>
    <mergeCell ref="Z175:AA175"/>
    <mergeCell ref="F169:F171"/>
    <mergeCell ref="G169:G171"/>
    <mergeCell ref="H169:H170"/>
    <mergeCell ref="I169:I170"/>
    <mergeCell ref="J169:J170"/>
    <mergeCell ref="M169:M170"/>
    <mergeCell ref="AD182:AD183"/>
    <mergeCell ref="AE182:AE183"/>
    <mergeCell ref="T184:U184"/>
    <mergeCell ref="P182:P183"/>
    <mergeCell ref="S182:S183"/>
    <mergeCell ref="Z182:AA183"/>
    <mergeCell ref="AB182:AB183"/>
    <mergeCell ref="AC182:AC183"/>
    <mergeCell ref="G182:G184"/>
    <mergeCell ref="H182:H183"/>
    <mergeCell ref="I182:I183"/>
    <mergeCell ref="J182:J183"/>
    <mergeCell ref="M182:M183"/>
    <mergeCell ref="G167:G168"/>
    <mergeCell ref="P167:P168"/>
    <mergeCell ref="S167:S168"/>
    <mergeCell ref="A169:A171"/>
    <mergeCell ref="B169:B171"/>
    <mergeCell ref="C169:C171"/>
    <mergeCell ref="D169:D171"/>
    <mergeCell ref="E169:E171"/>
    <mergeCell ref="X165:X166"/>
    <mergeCell ref="Y165:Y166"/>
    <mergeCell ref="AL165:AM165"/>
    <mergeCell ref="A167:A168"/>
    <mergeCell ref="B167:B168"/>
    <mergeCell ref="C167:C168"/>
    <mergeCell ref="D167:D168"/>
    <mergeCell ref="E167:E168"/>
    <mergeCell ref="F167:F168"/>
    <mergeCell ref="G165:G166"/>
    <mergeCell ref="T165:U166"/>
    <mergeCell ref="V165:V166"/>
    <mergeCell ref="W165:W166"/>
    <mergeCell ref="T164:U164"/>
    <mergeCell ref="Z164:AA164"/>
    <mergeCell ref="AF164:AG164"/>
    <mergeCell ref="A165:A166"/>
    <mergeCell ref="B165:B166"/>
    <mergeCell ref="C165:C166"/>
    <mergeCell ref="D165:D166"/>
    <mergeCell ref="E165:E166"/>
    <mergeCell ref="F165:F166"/>
    <mergeCell ref="G161:G164"/>
    <mergeCell ref="H161:H162"/>
    <mergeCell ref="I161:I162"/>
    <mergeCell ref="J161:J162"/>
    <mergeCell ref="M161:M162"/>
    <mergeCell ref="A161:A164"/>
    <mergeCell ref="B161:B164"/>
    <mergeCell ref="C161:C164"/>
    <mergeCell ref="D161:D164"/>
    <mergeCell ref="E161:E164"/>
    <mergeCell ref="F161:F164"/>
    <mergeCell ref="G158:G159"/>
    <mergeCell ref="H158:H159"/>
    <mergeCell ref="I158:I159"/>
    <mergeCell ref="J158:J159"/>
    <mergeCell ref="M158:M159"/>
    <mergeCell ref="A158:A159"/>
    <mergeCell ref="B158:B159"/>
    <mergeCell ref="C158:C159"/>
    <mergeCell ref="D158:D159"/>
    <mergeCell ref="E158:E159"/>
    <mergeCell ref="F158:F159"/>
    <mergeCell ref="AB153:AB154"/>
    <mergeCell ref="AC153:AC154"/>
    <mergeCell ref="AD153:AD154"/>
    <mergeCell ref="AE153:AE154"/>
    <mergeCell ref="T155:U155"/>
    <mergeCell ref="G153:G155"/>
    <mergeCell ref="H153:H154"/>
    <mergeCell ref="I153:I154"/>
    <mergeCell ref="J153:J154"/>
    <mergeCell ref="M153:M154"/>
    <mergeCell ref="Z153:AA154"/>
    <mergeCell ref="A153:A155"/>
    <mergeCell ref="B153:B155"/>
    <mergeCell ref="C153:C155"/>
    <mergeCell ref="D153:D155"/>
    <mergeCell ref="E153:E155"/>
    <mergeCell ref="F153:F155"/>
    <mergeCell ref="J151:J152"/>
    <mergeCell ref="M151:M152"/>
    <mergeCell ref="AL151:AL152"/>
    <mergeCell ref="AM151:AM152"/>
    <mergeCell ref="AN151:AN152"/>
    <mergeCell ref="AQ151:AQ152"/>
    <mergeCell ref="A151:A152"/>
    <mergeCell ref="B151:B152"/>
    <mergeCell ref="C151:C152"/>
    <mergeCell ref="D151:D152"/>
    <mergeCell ref="E151:E152"/>
    <mergeCell ref="F151:F152"/>
    <mergeCell ref="G151:G152"/>
    <mergeCell ref="H151:H152"/>
    <mergeCell ref="I151:I152"/>
    <mergeCell ref="Z143:AA144"/>
    <mergeCell ref="AB143:AB144"/>
    <mergeCell ref="AC143:AC144"/>
    <mergeCell ref="AD143:AD144"/>
    <mergeCell ref="AE143:AE144"/>
    <mergeCell ref="G143:G150"/>
    <mergeCell ref="H143:H144"/>
    <mergeCell ref="I143:I144"/>
    <mergeCell ref="J143:J144"/>
    <mergeCell ref="M143:M144"/>
    <mergeCell ref="A143:A150"/>
    <mergeCell ref="B143:B150"/>
    <mergeCell ref="C143:C150"/>
    <mergeCell ref="D143:D150"/>
    <mergeCell ref="E143:E150"/>
    <mergeCell ref="F143:F150"/>
    <mergeCell ref="AL134:AL135"/>
    <mergeCell ref="AM134:AM135"/>
    <mergeCell ref="AN134:AN135"/>
    <mergeCell ref="AQ134:AQ135"/>
    <mergeCell ref="G134:G142"/>
    <mergeCell ref="H134:H135"/>
    <mergeCell ref="I134:I135"/>
    <mergeCell ref="J134:J135"/>
    <mergeCell ref="M134:M135"/>
    <mergeCell ref="A134:A142"/>
    <mergeCell ref="B134:B142"/>
    <mergeCell ref="C134:C142"/>
    <mergeCell ref="D134:D142"/>
    <mergeCell ref="E134:E142"/>
    <mergeCell ref="F134:F142"/>
    <mergeCell ref="AL126:AL127"/>
    <mergeCell ref="AM126:AM127"/>
    <mergeCell ref="AN126:AN127"/>
    <mergeCell ref="AQ126:AQ127"/>
    <mergeCell ref="P130:P131"/>
    <mergeCell ref="A126:A127"/>
    <mergeCell ref="B126:B127"/>
    <mergeCell ref="C126:C127"/>
    <mergeCell ref="D126:D127"/>
    <mergeCell ref="E126:E127"/>
    <mergeCell ref="Z132:AA132"/>
    <mergeCell ref="F130:F131"/>
    <mergeCell ref="G130:G131"/>
    <mergeCell ref="J130:J131"/>
    <mergeCell ref="M130:M131"/>
    <mergeCell ref="G128:G129"/>
    <mergeCell ref="AL128:AL129"/>
    <mergeCell ref="AM128:AM129"/>
    <mergeCell ref="AN128:AN129"/>
    <mergeCell ref="AQ128:AQ129"/>
    <mergeCell ref="F120:F122"/>
    <mergeCell ref="G120:G122"/>
    <mergeCell ref="H120:H121"/>
    <mergeCell ref="I120:I121"/>
    <mergeCell ref="J120:J121"/>
    <mergeCell ref="M120:M121"/>
    <mergeCell ref="A130:A131"/>
    <mergeCell ref="B130:B131"/>
    <mergeCell ref="C130:C131"/>
    <mergeCell ref="D130:D131"/>
    <mergeCell ref="E130:E131"/>
    <mergeCell ref="A128:A129"/>
    <mergeCell ref="B128:B129"/>
    <mergeCell ref="C128:C129"/>
    <mergeCell ref="D128:D129"/>
    <mergeCell ref="E128:E129"/>
    <mergeCell ref="F128:F129"/>
    <mergeCell ref="F126:F127"/>
    <mergeCell ref="G126:G127"/>
    <mergeCell ref="A120:A122"/>
    <mergeCell ref="B120:B122"/>
    <mergeCell ref="C120:C122"/>
    <mergeCell ref="D120:D122"/>
    <mergeCell ref="E120:E122"/>
    <mergeCell ref="A124:A125"/>
    <mergeCell ref="B124:B125"/>
    <mergeCell ref="C124:C125"/>
    <mergeCell ref="D124:D125"/>
    <mergeCell ref="E124:E125"/>
    <mergeCell ref="F124:F125"/>
    <mergeCell ref="G118:G119"/>
    <mergeCell ref="H118:H119"/>
    <mergeCell ref="I118:I119"/>
    <mergeCell ref="J118:J119"/>
    <mergeCell ref="M118:M119"/>
    <mergeCell ref="AL118:AL119"/>
    <mergeCell ref="S124:S125"/>
    <mergeCell ref="Z124:Z125"/>
    <mergeCell ref="AA124:AA125"/>
    <mergeCell ref="AB124:AB125"/>
    <mergeCell ref="AE124:AE125"/>
    <mergeCell ref="I124:I125"/>
    <mergeCell ref="J124:J125"/>
    <mergeCell ref="M124:M125"/>
    <mergeCell ref="P124:P125"/>
    <mergeCell ref="Z122:AA122"/>
    <mergeCell ref="G124:G125"/>
    <mergeCell ref="H124:H125"/>
    <mergeCell ref="A118:A119"/>
    <mergeCell ref="B118:B119"/>
    <mergeCell ref="C118:C119"/>
    <mergeCell ref="D118:D119"/>
    <mergeCell ref="E118:E119"/>
    <mergeCell ref="F118:F119"/>
    <mergeCell ref="F116:F117"/>
    <mergeCell ref="G116:G117"/>
    <mergeCell ref="H116:H117"/>
    <mergeCell ref="I116:I117"/>
    <mergeCell ref="J116:J117"/>
    <mergeCell ref="M116:M117"/>
    <mergeCell ref="AP112:AP114"/>
    <mergeCell ref="AQ112:AQ114"/>
    <mergeCell ref="AL115:AM115"/>
    <mergeCell ref="A116:A117"/>
    <mergeCell ref="B116:B117"/>
    <mergeCell ref="C116:C117"/>
    <mergeCell ref="D116:D117"/>
    <mergeCell ref="E116:E117"/>
    <mergeCell ref="AH112:AH114"/>
    <mergeCell ref="AK112:AK114"/>
    <mergeCell ref="AL112:AM114"/>
    <mergeCell ref="AN112:AN114"/>
    <mergeCell ref="AO112:AO114"/>
    <mergeCell ref="AM118:AM119"/>
    <mergeCell ref="AN118:AN119"/>
    <mergeCell ref="AO118:AO119"/>
    <mergeCell ref="AP118:AP119"/>
    <mergeCell ref="AQ118:AQ119"/>
    <mergeCell ref="AL116:AL117"/>
    <mergeCell ref="AM116:AM117"/>
    <mergeCell ref="AN116:AN117"/>
    <mergeCell ref="AQ116:AQ117"/>
    <mergeCell ref="A102:A103"/>
    <mergeCell ref="B102:B103"/>
    <mergeCell ref="C102:C103"/>
    <mergeCell ref="D102:D103"/>
    <mergeCell ref="E102:E103"/>
    <mergeCell ref="F102:F103"/>
    <mergeCell ref="G102:G103"/>
    <mergeCell ref="H102:H103"/>
    <mergeCell ref="I102:I103"/>
    <mergeCell ref="V109:V110"/>
    <mergeCell ref="P106:P107"/>
    <mergeCell ref="S106:S107"/>
    <mergeCell ref="T106:U106"/>
    <mergeCell ref="Z106:AA106"/>
    <mergeCell ref="A109:A111"/>
    <mergeCell ref="B109:B111"/>
    <mergeCell ref="C109:C111"/>
    <mergeCell ref="D109:D111"/>
    <mergeCell ref="E109:E111"/>
    <mergeCell ref="J102:J103"/>
    <mergeCell ref="M102:M103"/>
    <mergeCell ref="A106:A108"/>
    <mergeCell ref="B106:B108"/>
    <mergeCell ref="C106:C108"/>
    <mergeCell ref="D106:D108"/>
    <mergeCell ref="E106:E108"/>
    <mergeCell ref="F106:F108"/>
    <mergeCell ref="G106:G108"/>
    <mergeCell ref="Z111:AA111"/>
    <mergeCell ref="W109:W110"/>
    <mergeCell ref="X109:X110"/>
    <mergeCell ref="Y109:Y110"/>
    <mergeCell ref="Z95:AA95"/>
    <mergeCell ref="AL101:AM101"/>
    <mergeCell ref="A93:A95"/>
    <mergeCell ref="B93:B95"/>
    <mergeCell ref="C93:C95"/>
    <mergeCell ref="D93:D95"/>
    <mergeCell ref="E93:E95"/>
    <mergeCell ref="F93:F95"/>
    <mergeCell ref="G93:G95"/>
    <mergeCell ref="AH109:AH110"/>
    <mergeCell ref="AK109:AK110"/>
    <mergeCell ref="T109:U110"/>
    <mergeCell ref="F109:F111"/>
    <mergeCell ref="G109:G111"/>
    <mergeCell ref="H109:H110"/>
    <mergeCell ref="I109:I110"/>
    <mergeCell ref="J109:J110"/>
    <mergeCell ref="M109:M110"/>
    <mergeCell ref="S97:S98"/>
    <mergeCell ref="P99:P100"/>
    <mergeCell ref="Q99:Q100"/>
    <mergeCell ref="R99:R100"/>
    <mergeCell ref="S99:S100"/>
    <mergeCell ref="I97:I98"/>
    <mergeCell ref="J97:J98"/>
    <mergeCell ref="M97:M98"/>
    <mergeCell ref="P97:P98"/>
    <mergeCell ref="A97:A100"/>
    <mergeCell ref="B97:B100"/>
    <mergeCell ref="C97:C100"/>
    <mergeCell ref="D97:D100"/>
    <mergeCell ref="E97:E100"/>
    <mergeCell ref="F97:F100"/>
    <mergeCell ref="G97:G100"/>
    <mergeCell ref="H97:H98"/>
    <mergeCell ref="AK80:AK81"/>
    <mergeCell ref="T82:U82"/>
    <mergeCell ref="Z82:AA82"/>
    <mergeCell ref="AL82:AM82"/>
    <mergeCell ref="A89:A90"/>
    <mergeCell ref="B89:B90"/>
    <mergeCell ref="C89:C90"/>
    <mergeCell ref="D89:D90"/>
    <mergeCell ref="E89:E90"/>
    <mergeCell ref="M80:M81"/>
    <mergeCell ref="P80:P81"/>
    <mergeCell ref="S80:S81"/>
    <mergeCell ref="AF80:AF81"/>
    <mergeCell ref="AG80:AG81"/>
    <mergeCell ref="AH80:AH81"/>
    <mergeCell ref="Z93:AA94"/>
    <mergeCell ref="AB93:AB94"/>
    <mergeCell ref="AC93:AC94"/>
    <mergeCell ref="AD93:AD94"/>
    <mergeCell ref="AE93:AE94"/>
    <mergeCell ref="F91:F92"/>
    <mergeCell ref="G91:G92"/>
    <mergeCell ref="C73:C74"/>
    <mergeCell ref="D73:D74"/>
    <mergeCell ref="E73:E74"/>
    <mergeCell ref="F73:F74"/>
    <mergeCell ref="H75:H76"/>
    <mergeCell ref="I75:I76"/>
    <mergeCell ref="D80:D82"/>
    <mergeCell ref="E80:E82"/>
    <mergeCell ref="F80:F82"/>
    <mergeCell ref="G80:G82"/>
    <mergeCell ref="J80:J81"/>
    <mergeCell ref="F77:F79"/>
    <mergeCell ref="G77:G79"/>
    <mergeCell ref="J77:J78"/>
    <mergeCell ref="F89:F90"/>
    <mergeCell ref="G89:G90"/>
    <mergeCell ref="A91:A92"/>
    <mergeCell ref="B91:B92"/>
    <mergeCell ref="C91:C92"/>
    <mergeCell ref="D91:D92"/>
    <mergeCell ref="E91:E92"/>
    <mergeCell ref="A80:A87"/>
    <mergeCell ref="B80:B87"/>
    <mergeCell ref="C80:C87"/>
    <mergeCell ref="M77:M78"/>
    <mergeCell ref="H80:H81"/>
    <mergeCell ref="I80:I81"/>
    <mergeCell ref="A77:A79"/>
    <mergeCell ref="B77:B79"/>
    <mergeCell ref="C77:C79"/>
    <mergeCell ref="D77:D79"/>
    <mergeCell ref="E77:E79"/>
    <mergeCell ref="H77:H78"/>
    <mergeCell ref="I77:I78"/>
    <mergeCell ref="AL69:AM70"/>
    <mergeCell ref="AN69:AN70"/>
    <mergeCell ref="AO69:AO70"/>
    <mergeCell ref="AP69:AP70"/>
    <mergeCell ref="AQ69:AQ70"/>
    <mergeCell ref="A71:A72"/>
    <mergeCell ref="B71:B72"/>
    <mergeCell ref="C71:C72"/>
    <mergeCell ref="D71:D72"/>
    <mergeCell ref="E71:E72"/>
    <mergeCell ref="G69:G70"/>
    <mergeCell ref="N69:N70"/>
    <mergeCell ref="O69:O70"/>
    <mergeCell ref="P69:P70"/>
    <mergeCell ref="S69:S70"/>
    <mergeCell ref="F75:F76"/>
    <mergeCell ref="G75:G76"/>
    <mergeCell ref="J75:J76"/>
    <mergeCell ref="M75:M76"/>
    <mergeCell ref="A69:A70"/>
    <mergeCell ref="B69:B70"/>
    <mergeCell ref="C69:C70"/>
    <mergeCell ref="D69:D70"/>
    <mergeCell ref="E69:E70"/>
    <mergeCell ref="F69:F70"/>
    <mergeCell ref="G73:G74"/>
    <mergeCell ref="T73:T74"/>
    <mergeCell ref="U73:U74"/>
    <mergeCell ref="V73:V74"/>
    <mergeCell ref="Y73:Y74"/>
    <mergeCell ref="A75:A76"/>
    <mergeCell ref="B75:B76"/>
    <mergeCell ref="F71:F72"/>
    <mergeCell ref="G71:G72"/>
    <mergeCell ref="N71:N72"/>
    <mergeCell ref="O71:O72"/>
    <mergeCell ref="P71:P72"/>
    <mergeCell ref="S71:S72"/>
    <mergeCell ref="G63:G64"/>
    <mergeCell ref="H63:H64"/>
    <mergeCell ref="I63:I64"/>
    <mergeCell ref="J63:J64"/>
    <mergeCell ref="M63:M64"/>
    <mergeCell ref="A63:A64"/>
    <mergeCell ref="B63:B64"/>
    <mergeCell ref="C63:C64"/>
    <mergeCell ref="D63:D64"/>
    <mergeCell ref="E63:E64"/>
    <mergeCell ref="F63:F64"/>
    <mergeCell ref="C75:C76"/>
    <mergeCell ref="D75:D76"/>
    <mergeCell ref="E75:E76"/>
    <mergeCell ref="A73:A74"/>
    <mergeCell ref="B73:B74"/>
    <mergeCell ref="P60:P61"/>
    <mergeCell ref="S60:S61"/>
    <mergeCell ref="AB60:AB61"/>
    <mergeCell ref="P67:P68"/>
    <mergeCell ref="S67:S68"/>
    <mergeCell ref="AE60:AE61"/>
    <mergeCell ref="AA57:AA58"/>
    <mergeCell ref="AB57:AB58"/>
    <mergeCell ref="AE57:AE58"/>
    <mergeCell ref="A60:A61"/>
    <mergeCell ref="B60:B61"/>
    <mergeCell ref="C60:C61"/>
    <mergeCell ref="D60:D61"/>
    <mergeCell ref="E60:E61"/>
    <mergeCell ref="F60:F61"/>
    <mergeCell ref="G60:G61"/>
    <mergeCell ref="T65:U65"/>
    <mergeCell ref="Z65:AA65"/>
    <mergeCell ref="A67:A68"/>
    <mergeCell ref="B67:B68"/>
    <mergeCell ref="C67:C68"/>
    <mergeCell ref="D67:D68"/>
    <mergeCell ref="E67:E68"/>
    <mergeCell ref="F67:F68"/>
    <mergeCell ref="G67:G68"/>
    <mergeCell ref="Z60:Z61"/>
    <mergeCell ref="AA60:AA61"/>
    <mergeCell ref="AA55:AA56"/>
    <mergeCell ref="AL55:AM55"/>
    <mergeCell ref="A57:A58"/>
    <mergeCell ref="B57:B58"/>
    <mergeCell ref="C57:C58"/>
    <mergeCell ref="D57:D58"/>
    <mergeCell ref="E57:E58"/>
    <mergeCell ref="F57:F58"/>
    <mergeCell ref="G57:G58"/>
    <mergeCell ref="Z57:Z58"/>
    <mergeCell ref="F55:F56"/>
    <mergeCell ref="G55:G56"/>
    <mergeCell ref="P55:P56"/>
    <mergeCell ref="S55:S56"/>
    <mergeCell ref="Z55:Z56"/>
    <mergeCell ref="I52:I53"/>
    <mergeCell ref="J52:J53"/>
    <mergeCell ref="M52:M53"/>
    <mergeCell ref="Z52:Z53"/>
    <mergeCell ref="AA52:AA53"/>
    <mergeCell ref="A55:A56"/>
    <mergeCell ref="B55:B56"/>
    <mergeCell ref="C55:C56"/>
    <mergeCell ref="D55:D56"/>
    <mergeCell ref="E55:E56"/>
    <mergeCell ref="AB48:AB49"/>
    <mergeCell ref="AE48:AE49"/>
    <mergeCell ref="A52:A53"/>
    <mergeCell ref="B52:B53"/>
    <mergeCell ref="C52:C53"/>
    <mergeCell ref="D52:D53"/>
    <mergeCell ref="E52:E53"/>
    <mergeCell ref="F52:F53"/>
    <mergeCell ref="G52:G53"/>
    <mergeCell ref="H52:H53"/>
    <mergeCell ref="I48:I49"/>
    <mergeCell ref="J48:J49"/>
    <mergeCell ref="M48:M49"/>
    <mergeCell ref="S48:S49"/>
    <mergeCell ref="AB45:AB46"/>
    <mergeCell ref="AE45:AE46"/>
    <mergeCell ref="A48:A49"/>
    <mergeCell ref="B48:B49"/>
    <mergeCell ref="C48:C49"/>
    <mergeCell ref="D48:D49"/>
    <mergeCell ref="E48:E49"/>
    <mergeCell ref="F48:F49"/>
    <mergeCell ref="G48:G49"/>
    <mergeCell ref="H48:H49"/>
    <mergeCell ref="Z48:Z49"/>
    <mergeCell ref="AA48:AA49"/>
    <mergeCell ref="AE40:AE41"/>
    <mergeCell ref="A45:A46"/>
    <mergeCell ref="B45:B46"/>
    <mergeCell ref="C45:C46"/>
    <mergeCell ref="D45:D46"/>
    <mergeCell ref="E45:E46"/>
    <mergeCell ref="F45:F46"/>
    <mergeCell ref="G45:G46"/>
    <mergeCell ref="Z45:Z46"/>
    <mergeCell ref="AA45:AA46"/>
    <mergeCell ref="G40:G41"/>
    <mergeCell ref="P40:P41"/>
    <mergeCell ref="S40:S41"/>
    <mergeCell ref="AB40:AB41"/>
    <mergeCell ref="A40:A41"/>
    <mergeCell ref="B40:B41"/>
    <mergeCell ref="C40:C41"/>
    <mergeCell ref="D40:D41"/>
    <mergeCell ref="E40:E41"/>
    <mergeCell ref="F40:F41"/>
    <mergeCell ref="Z40:Z41"/>
    <mergeCell ref="AA40:AA41"/>
    <mergeCell ref="F36:F39"/>
    <mergeCell ref="G36:G39"/>
    <mergeCell ref="H36:H37"/>
    <mergeCell ref="I36:I37"/>
    <mergeCell ref="J36:J37"/>
    <mergeCell ref="M36:M37"/>
    <mergeCell ref="H38:H39"/>
    <mergeCell ref="I38:I39"/>
    <mergeCell ref="J38:J39"/>
    <mergeCell ref="M38:M39"/>
    <mergeCell ref="G34:G35"/>
    <mergeCell ref="P34:P35"/>
    <mergeCell ref="S34:S35"/>
    <mergeCell ref="A36:A39"/>
    <mergeCell ref="B36:B39"/>
    <mergeCell ref="C36:C39"/>
    <mergeCell ref="D36:D39"/>
    <mergeCell ref="E36:E39"/>
    <mergeCell ref="A34:A35"/>
    <mergeCell ref="B34:B35"/>
    <mergeCell ref="C34:C35"/>
    <mergeCell ref="D34:D35"/>
    <mergeCell ref="E34:E35"/>
    <mergeCell ref="F34:F35"/>
    <mergeCell ref="AL30:AL31"/>
    <mergeCell ref="AM30:AM31"/>
    <mergeCell ref="AN30:AN31"/>
    <mergeCell ref="AQ30:AQ31"/>
    <mergeCell ref="AL32:AM33"/>
    <mergeCell ref="AN32:AN33"/>
    <mergeCell ref="AO32:AO33"/>
    <mergeCell ref="AP32:AP33"/>
    <mergeCell ref="AQ32:AQ33"/>
    <mergeCell ref="A30:A33"/>
    <mergeCell ref="B30:B33"/>
    <mergeCell ref="C30:C33"/>
    <mergeCell ref="D30:D33"/>
    <mergeCell ref="E30:E33"/>
    <mergeCell ref="F30:F33"/>
    <mergeCell ref="G30:G33"/>
    <mergeCell ref="Z24:AA24"/>
    <mergeCell ref="AF24:AG24"/>
    <mergeCell ref="AF27:AG27"/>
    <mergeCell ref="T23:U23"/>
    <mergeCell ref="Z23:AA23"/>
    <mergeCell ref="S16:S17"/>
    <mergeCell ref="A24:A26"/>
    <mergeCell ref="B24:B26"/>
    <mergeCell ref="C24:C26"/>
    <mergeCell ref="D24:D26"/>
    <mergeCell ref="E24:E26"/>
    <mergeCell ref="F24:F26"/>
    <mergeCell ref="G24:G26"/>
    <mergeCell ref="F21:F23"/>
    <mergeCell ref="G21:G23"/>
    <mergeCell ref="H21:H22"/>
    <mergeCell ref="I21:I22"/>
    <mergeCell ref="J21:J22"/>
    <mergeCell ref="M21:M22"/>
    <mergeCell ref="A21:A23"/>
    <mergeCell ref="B21:B23"/>
    <mergeCell ref="C21:C23"/>
    <mergeCell ref="D21:D23"/>
    <mergeCell ref="E21:E23"/>
    <mergeCell ref="B16:B20"/>
    <mergeCell ref="C16:C20"/>
    <mergeCell ref="D16:D20"/>
    <mergeCell ref="E16:E20"/>
    <mergeCell ref="F16:F20"/>
    <mergeCell ref="P16:P17"/>
    <mergeCell ref="AN18:AN19"/>
    <mergeCell ref="AQ18:AQ19"/>
    <mergeCell ref="AF20:AG20"/>
    <mergeCell ref="AN16:AN17"/>
    <mergeCell ref="AO16:AO17"/>
    <mergeCell ref="AP16:AP17"/>
    <mergeCell ref="AQ16:AQ17"/>
    <mergeCell ref="AF18:AF19"/>
    <mergeCell ref="AG18:AG19"/>
    <mergeCell ref="AH18:AH19"/>
    <mergeCell ref="AK18:AK19"/>
    <mergeCell ref="AL18:AL19"/>
    <mergeCell ref="T16:U17"/>
    <mergeCell ref="V16:V19"/>
    <mergeCell ref="W16:W19"/>
    <mergeCell ref="X16:X19"/>
    <mergeCell ref="AL16:AM17"/>
    <mergeCell ref="AM18:AM19"/>
    <mergeCell ref="Y16:Y19"/>
    <mergeCell ref="A10:A12"/>
    <mergeCell ref="B10:B12"/>
    <mergeCell ref="C10:C12"/>
    <mergeCell ref="D10:D12"/>
    <mergeCell ref="E10:E12"/>
    <mergeCell ref="T12:U12"/>
    <mergeCell ref="H16:H17"/>
    <mergeCell ref="I16:I17"/>
    <mergeCell ref="Z13:AA13"/>
    <mergeCell ref="A14:A15"/>
    <mergeCell ref="B14:B15"/>
    <mergeCell ref="C14:C15"/>
    <mergeCell ref="D14:D15"/>
    <mergeCell ref="E14:E15"/>
    <mergeCell ref="F14:F15"/>
    <mergeCell ref="G14:G15"/>
    <mergeCell ref="G16:G20"/>
    <mergeCell ref="J16:J17"/>
    <mergeCell ref="M16:M17"/>
    <mergeCell ref="A16:A20"/>
    <mergeCell ref="N16:N17"/>
    <mergeCell ref="O16:O17"/>
    <mergeCell ref="T10:T11"/>
    <mergeCell ref="U10:U11"/>
    <mergeCell ref="Z10:Z11"/>
    <mergeCell ref="AA10:AA11"/>
    <mergeCell ref="V10:V11"/>
    <mergeCell ref="Y10:Y11"/>
    <mergeCell ref="T3:U4"/>
    <mergeCell ref="F8:F9"/>
    <mergeCell ref="G8:G9"/>
    <mergeCell ref="AF2:AK2"/>
    <mergeCell ref="AL2:AQ2"/>
    <mergeCell ref="H3:I4"/>
    <mergeCell ref="J3:J5"/>
    <mergeCell ref="K3:L4"/>
    <mergeCell ref="M3:M4"/>
    <mergeCell ref="N3:O4"/>
    <mergeCell ref="P3:P5"/>
    <mergeCell ref="Q3:R4"/>
    <mergeCell ref="S3:S4"/>
    <mergeCell ref="V3:V5"/>
    <mergeCell ref="W3:X4"/>
    <mergeCell ref="Y3:Y4"/>
    <mergeCell ref="Z3:AA4"/>
    <mergeCell ref="AB3:AB5"/>
    <mergeCell ref="A7:M7"/>
    <mergeCell ref="A8:A9"/>
    <mergeCell ref="B8:B9"/>
    <mergeCell ref="C8:C9"/>
    <mergeCell ref="F4:G4"/>
    <mergeCell ref="AC3:AD4"/>
    <mergeCell ref="AE3:AE4"/>
    <mergeCell ref="AF3:AG4"/>
    <mergeCell ref="D8:D9"/>
    <mergeCell ref="E8:E9"/>
    <mergeCell ref="A175:A177"/>
    <mergeCell ref="B175:B177"/>
    <mergeCell ref="C175:C177"/>
    <mergeCell ref="A2:A5"/>
    <mergeCell ref="B2:B5"/>
    <mergeCell ref="C2:C5"/>
    <mergeCell ref="D2:G3"/>
    <mergeCell ref="H2:M2"/>
    <mergeCell ref="N2:S2"/>
    <mergeCell ref="T2:Y2"/>
    <mergeCell ref="Z2:AE2"/>
    <mergeCell ref="AL3:AM4"/>
    <mergeCell ref="AN3:AN5"/>
    <mergeCell ref="AO3:AP4"/>
    <mergeCell ref="AQ3:AQ4"/>
    <mergeCell ref="D4:E4"/>
    <mergeCell ref="AB10:AB11"/>
    <mergeCell ref="AE10:AE11"/>
    <mergeCell ref="F10:F12"/>
    <mergeCell ref="G10:G12"/>
    <mergeCell ref="T8:T9"/>
    <mergeCell ref="U8:U9"/>
    <mergeCell ref="V8:V9"/>
    <mergeCell ref="Y8:Y9"/>
    <mergeCell ref="H14:H15"/>
    <mergeCell ref="I14:I15"/>
    <mergeCell ref="J14:J15"/>
    <mergeCell ref="M14:M15"/>
    <mergeCell ref="T13:U13"/>
    <mergeCell ref="AH3:AH5"/>
    <mergeCell ref="AI3:AJ4"/>
    <mergeCell ref="AK3:AK4"/>
  </mergeCells>
  <printOptions horizontalCentered="1"/>
  <pageMargins left="0.70866141732283472" right="0.31496062992125984" top="0.74803149606299213" bottom="0.74803149606299213" header="0.31496062992125984" footer="0.31496062992125984"/>
  <pageSetup paperSize="9" scale="35" fitToWidth="4" fitToHeight="60" orientation="portrait" r:id="rId1"/>
  <rowBreaks count="11" manualBreakCount="11">
    <brk id="61" max="43" man="1"/>
    <brk id="111" max="43" man="1"/>
    <brk id="160" max="43" man="1"/>
    <brk id="211" max="43" man="1"/>
    <brk id="270" max="43" man="1"/>
    <brk id="333" max="43" man="1"/>
    <brk id="404" max="43" man="1"/>
    <brk id="471" max="43" man="1"/>
    <brk id="534" max="43" man="1"/>
    <brk id="587" max="43" man="1"/>
    <brk id="622" max="43" man="1"/>
  </rowBreaks>
  <colBreaks count="3" manualBreakCount="3">
    <brk id="13" max="676" man="1"/>
    <brk id="25" max="676" man="1"/>
    <brk id="37" max="676" man="1"/>
  </colBreaks>
</worksheet>
</file>

<file path=xl/worksheets/sheet3.xml><?xml version="1.0" encoding="utf-8"?>
<worksheet xmlns="http://schemas.openxmlformats.org/spreadsheetml/2006/main" xmlns:r="http://schemas.openxmlformats.org/officeDocument/2006/relationships">
  <dimension ref="A1:AR219"/>
  <sheetViews>
    <sheetView tabSelected="1" view="pageBreakPreview" topLeftCell="A151" zoomScale="55" zoomScaleNormal="40" zoomScaleSheetLayoutView="55" workbookViewId="0">
      <selection activeCell="AE146" sqref="AE146:AE160"/>
    </sheetView>
  </sheetViews>
  <sheetFormatPr defaultRowHeight="15"/>
  <cols>
    <col min="2" max="2" width="10.5703125" style="338" customWidth="1"/>
    <col min="3" max="3" width="40.28515625" customWidth="1"/>
    <col min="4" max="4" width="14.85546875" customWidth="1"/>
    <col min="5" max="5" width="18.28515625" customWidth="1"/>
    <col min="6" max="6" width="15.140625" customWidth="1"/>
    <col min="7" max="7" width="17.7109375" customWidth="1"/>
    <col min="8" max="9" width="21.5703125" customWidth="1"/>
    <col min="10" max="10" width="21.140625" customWidth="1"/>
    <col min="11" max="11" width="12.28515625" customWidth="1"/>
    <col min="12" max="12" width="15.28515625" customWidth="1"/>
    <col min="13" max="13" width="17.42578125" customWidth="1"/>
    <col min="14" max="17" width="21.5703125" customWidth="1"/>
    <col min="18" max="18" width="17.7109375" customWidth="1"/>
    <col min="19" max="23" width="21.5703125" customWidth="1"/>
    <col min="24" max="24" width="17.28515625" customWidth="1"/>
    <col min="25" max="29" width="21.5703125" customWidth="1"/>
    <col min="30" max="30" width="16.85546875" customWidth="1"/>
    <col min="31" max="35" width="21.5703125" customWidth="1"/>
    <col min="36" max="36" width="17.42578125" customWidth="1"/>
    <col min="37" max="41" width="21.5703125" customWidth="1"/>
    <col min="42" max="42" width="14.5703125" customWidth="1"/>
    <col min="43" max="43" width="21.5703125" customWidth="1"/>
    <col min="44" max="44" width="17.5703125" customWidth="1"/>
    <col min="45" max="73" width="21.5703125" customWidth="1"/>
  </cols>
  <sheetData>
    <row r="1" spans="1:44" ht="60.75" customHeight="1" thickBot="1">
      <c r="A1" s="1228" t="s">
        <v>0</v>
      </c>
      <c r="B1" s="1229"/>
      <c r="C1" s="1229"/>
      <c r="D1" s="1229"/>
      <c r="E1" s="1229"/>
      <c r="F1" s="1229"/>
      <c r="G1" s="1229"/>
      <c r="H1" s="1229"/>
      <c r="I1" s="1229"/>
      <c r="J1" s="1229"/>
      <c r="K1" s="1229"/>
      <c r="L1" s="1229"/>
      <c r="M1" s="1229"/>
      <c r="N1" s="1229"/>
      <c r="O1" s="1229"/>
      <c r="P1" s="1229"/>
      <c r="Q1" s="1229"/>
      <c r="R1" s="1229"/>
      <c r="S1" s="1229"/>
      <c r="T1" s="1229"/>
      <c r="U1" s="1229"/>
      <c r="V1" s="1229"/>
      <c r="W1" s="1229"/>
      <c r="X1" s="1229"/>
      <c r="Y1" s="1229"/>
      <c r="Z1" s="1229"/>
      <c r="AA1" s="1229"/>
      <c r="AB1" s="1229"/>
      <c r="AC1" s="1229"/>
      <c r="AD1" s="1229"/>
      <c r="AE1" s="1229"/>
      <c r="AF1" s="1229"/>
      <c r="AG1" s="1229"/>
      <c r="AH1" s="1229"/>
      <c r="AI1" s="1229"/>
      <c r="AJ1" s="1229"/>
      <c r="AK1" s="1229"/>
      <c r="AL1" s="1229"/>
      <c r="AM1" s="1229"/>
      <c r="AN1" s="1229"/>
      <c r="AO1" s="1229"/>
      <c r="AP1" s="1229"/>
      <c r="AQ1" s="1229"/>
      <c r="AR1" s="1229"/>
    </row>
    <row r="2" spans="1:44" ht="16.5" thickBot="1">
      <c r="A2" s="1009" t="s">
        <v>1</v>
      </c>
      <c r="B2" s="1010" t="s">
        <v>2</v>
      </c>
      <c r="C2" s="1011" t="s">
        <v>3</v>
      </c>
      <c r="D2" s="1012" t="s">
        <v>4</v>
      </c>
      <c r="E2" s="1012"/>
      <c r="F2" s="1012"/>
      <c r="G2" s="1095"/>
      <c r="H2" s="1121" t="s">
        <v>5</v>
      </c>
      <c r="I2" s="1122"/>
      <c r="J2" s="1122"/>
      <c r="K2" s="1122"/>
      <c r="L2" s="1122"/>
      <c r="M2" s="1123"/>
      <c r="N2" s="1092" t="s">
        <v>6</v>
      </c>
      <c r="O2" s="1093"/>
      <c r="P2" s="1093"/>
      <c r="Q2" s="1093"/>
      <c r="R2" s="1093"/>
      <c r="S2" s="1094"/>
      <c r="T2" s="1092" t="s">
        <v>7</v>
      </c>
      <c r="U2" s="1093"/>
      <c r="V2" s="1093"/>
      <c r="W2" s="1093"/>
      <c r="X2" s="1093"/>
      <c r="Y2" s="1094"/>
      <c r="Z2" s="1092" t="s">
        <v>8</v>
      </c>
      <c r="AA2" s="1093"/>
      <c r="AB2" s="1093"/>
      <c r="AC2" s="1093"/>
      <c r="AD2" s="1093"/>
      <c r="AE2" s="1094"/>
      <c r="AF2" s="1092" t="s">
        <v>9</v>
      </c>
      <c r="AG2" s="1093"/>
      <c r="AH2" s="1093"/>
      <c r="AI2" s="1093"/>
      <c r="AJ2" s="1093"/>
      <c r="AK2" s="1094"/>
      <c r="AL2" s="1092" t="s">
        <v>10</v>
      </c>
      <c r="AM2" s="1093"/>
      <c r="AN2" s="1093"/>
      <c r="AO2" s="1093"/>
      <c r="AP2" s="1093"/>
      <c r="AQ2" s="1094"/>
      <c r="AR2" s="1132" t="s">
        <v>1184</v>
      </c>
    </row>
    <row r="3" spans="1:44">
      <c r="A3" s="1009"/>
      <c r="B3" s="1010"/>
      <c r="C3" s="1011"/>
      <c r="D3" s="1012"/>
      <c r="E3" s="1012"/>
      <c r="F3" s="1012"/>
      <c r="G3" s="1095"/>
      <c r="H3" s="1098" t="s">
        <v>11</v>
      </c>
      <c r="I3" s="1014"/>
      <c r="J3" s="1014" t="s">
        <v>12</v>
      </c>
      <c r="K3" s="1014" t="s">
        <v>13</v>
      </c>
      <c r="L3" s="1014"/>
      <c r="M3" s="1133" t="s">
        <v>14</v>
      </c>
      <c r="N3" s="1096" t="s">
        <v>11</v>
      </c>
      <c r="O3" s="1097"/>
      <c r="P3" s="1097" t="s">
        <v>12</v>
      </c>
      <c r="Q3" s="1097" t="s">
        <v>13</v>
      </c>
      <c r="R3" s="1097"/>
      <c r="S3" s="1134" t="s">
        <v>14</v>
      </c>
      <c r="T3" s="1096" t="s">
        <v>11</v>
      </c>
      <c r="U3" s="1097"/>
      <c r="V3" s="1097" t="s">
        <v>12</v>
      </c>
      <c r="W3" s="1097" t="s">
        <v>13</v>
      </c>
      <c r="X3" s="1097"/>
      <c r="Y3" s="1134" t="s">
        <v>14</v>
      </c>
      <c r="Z3" s="1096" t="s">
        <v>11</v>
      </c>
      <c r="AA3" s="1097"/>
      <c r="AB3" s="1097" t="s">
        <v>12</v>
      </c>
      <c r="AC3" s="1097" t="s">
        <v>13</v>
      </c>
      <c r="AD3" s="1097"/>
      <c r="AE3" s="1134" t="s">
        <v>14</v>
      </c>
      <c r="AF3" s="1096" t="s">
        <v>11</v>
      </c>
      <c r="AG3" s="1097"/>
      <c r="AH3" s="1097" t="s">
        <v>12</v>
      </c>
      <c r="AI3" s="1097" t="s">
        <v>13</v>
      </c>
      <c r="AJ3" s="1097"/>
      <c r="AK3" s="1134" t="s">
        <v>14</v>
      </c>
      <c r="AL3" s="1096" t="s">
        <v>11</v>
      </c>
      <c r="AM3" s="1097"/>
      <c r="AN3" s="1097" t="s">
        <v>12</v>
      </c>
      <c r="AO3" s="1097" t="s">
        <v>13</v>
      </c>
      <c r="AP3" s="1097"/>
      <c r="AQ3" s="1134" t="s">
        <v>14</v>
      </c>
      <c r="AR3" s="1132"/>
    </row>
    <row r="4" spans="1:44">
      <c r="A4" s="1009"/>
      <c r="B4" s="1010"/>
      <c r="C4" s="1011"/>
      <c r="D4" s="1016" t="s">
        <v>15</v>
      </c>
      <c r="E4" s="1016"/>
      <c r="F4" s="1012" t="s">
        <v>16</v>
      </c>
      <c r="G4" s="1095"/>
      <c r="H4" s="1098"/>
      <c r="I4" s="1014"/>
      <c r="J4" s="1014"/>
      <c r="K4" s="1014"/>
      <c r="L4" s="1014"/>
      <c r="M4" s="1133"/>
      <c r="N4" s="1098"/>
      <c r="O4" s="1014"/>
      <c r="P4" s="1014"/>
      <c r="Q4" s="1014"/>
      <c r="R4" s="1014"/>
      <c r="S4" s="1135"/>
      <c r="T4" s="1098"/>
      <c r="U4" s="1014"/>
      <c r="V4" s="1014"/>
      <c r="W4" s="1014"/>
      <c r="X4" s="1014"/>
      <c r="Y4" s="1135"/>
      <c r="Z4" s="1098"/>
      <c r="AA4" s="1014"/>
      <c r="AB4" s="1014"/>
      <c r="AC4" s="1014"/>
      <c r="AD4" s="1014"/>
      <c r="AE4" s="1135"/>
      <c r="AF4" s="1098"/>
      <c r="AG4" s="1014"/>
      <c r="AH4" s="1014"/>
      <c r="AI4" s="1014"/>
      <c r="AJ4" s="1014"/>
      <c r="AK4" s="1135"/>
      <c r="AL4" s="1098"/>
      <c r="AM4" s="1014"/>
      <c r="AN4" s="1014"/>
      <c r="AO4" s="1014"/>
      <c r="AP4" s="1014"/>
      <c r="AQ4" s="1135"/>
      <c r="AR4" s="1132"/>
    </row>
    <row r="5" spans="1:44" ht="30">
      <c r="A5" s="1009"/>
      <c r="B5" s="1010"/>
      <c r="C5" s="1011"/>
      <c r="D5" s="1" t="s">
        <v>17</v>
      </c>
      <c r="E5" s="2" t="s">
        <v>18</v>
      </c>
      <c r="F5" s="1" t="s">
        <v>17</v>
      </c>
      <c r="G5" s="7" t="s">
        <v>18</v>
      </c>
      <c r="H5" s="164" t="s">
        <v>19</v>
      </c>
      <c r="I5" s="4" t="s">
        <v>20</v>
      </c>
      <c r="J5" s="1014"/>
      <c r="K5" s="5" t="s">
        <v>21</v>
      </c>
      <c r="L5" s="6" t="s">
        <v>22</v>
      </c>
      <c r="M5" s="7" t="s">
        <v>23</v>
      </c>
      <c r="N5" s="165" t="s">
        <v>19</v>
      </c>
      <c r="O5" s="4" t="s">
        <v>20</v>
      </c>
      <c r="P5" s="1014"/>
      <c r="Q5" s="8" t="s">
        <v>21</v>
      </c>
      <c r="R5" s="4" t="s">
        <v>22</v>
      </c>
      <c r="S5" s="166" t="s">
        <v>23</v>
      </c>
      <c r="T5" s="164" t="s">
        <v>19</v>
      </c>
      <c r="U5" s="4" t="s">
        <v>20</v>
      </c>
      <c r="V5" s="1014"/>
      <c r="W5" s="8" t="s">
        <v>21</v>
      </c>
      <c r="X5" s="4" t="s">
        <v>22</v>
      </c>
      <c r="Y5" s="166" t="s">
        <v>23</v>
      </c>
      <c r="Z5" s="164" t="s">
        <v>19</v>
      </c>
      <c r="AA5" s="4" t="s">
        <v>20</v>
      </c>
      <c r="AB5" s="1014"/>
      <c r="AC5" s="8" t="s">
        <v>21</v>
      </c>
      <c r="AD5" s="4" t="s">
        <v>22</v>
      </c>
      <c r="AE5" s="166" t="s">
        <v>23</v>
      </c>
      <c r="AF5" s="164" t="s">
        <v>19</v>
      </c>
      <c r="AG5" s="4" t="s">
        <v>20</v>
      </c>
      <c r="AH5" s="1014"/>
      <c r="AI5" s="8" t="s">
        <v>21</v>
      </c>
      <c r="AJ5" s="4" t="s">
        <v>22</v>
      </c>
      <c r="AK5" s="166" t="s">
        <v>23</v>
      </c>
      <c r="AL5" s="164" t="s">
        <v>19</v>
      </c>
      <c r="AM5" s="4" t="s">
        <v>20</v>
      </c>
      <c r="AN5" s="1014"/>
      <c r="AO5" s="8" t="s">
        <v>21</v>
      </c>
      <c r="AP5" s="4" t="s">
        <v>22</v>
      </c>
      <c r="AQ5" s="166" t="s">
        <v>23</v>
      </c>
      <c r="AR5" s="1132"/>
    </row>
    <row r="6" spans="1:44">
      <c r="A6" s="167">
        <v>1</v>
      </c>
      <c r="B6" s="167">
        <v>2</v>
      </c>
      <c r="C6" s="167">
        <v>3</v>
      </c>
      <c r="D6" s="167">
        <v>4</v>
      </c>
      <c r="E6" s="167">
        <v>5</v>
      </c>
      <c r="F6" s="167">
        <v>6</v>
      </c>
      <c r="G6" s="167">
        <v>7</v>
      </c>
      <c r="H6" s="167">
        <v>8</v>
      </c>
      <c r="I6" s="167">
        <v>9</v>
      </c>
      <c r="J6" s="167">
        <v>10</v>
      </c>
      <c r="K6" s="167">
        <v>11</v>
      </c>
      <c r="L6" s="167">
        <v>12</v>
      </c>
      <c r="M6" s="167">
        <v>13</v>
      </c>
      <c r="N6" s="167">
        <v>14</v>
      </c>
      <c r="O6" s="167">
        <v>15</v>
      </c>
      <c r="P6" s="167">
        <v>16</v>
      </c>
      <c r="Q6" s="167">
        <v>17</v>
      </c>
      <c r="R6" s="167">
        <v>18</v>
      </c>
      <c r="S6" s="167">
        <v>19</v>
      </c>
      <c r="T6" s="167">
        <v>20</v>
      </c>
      <c r="U6" s="167">
        <v>21</v>
      </c>
      <c r="V6" s="167">
        <v>22</v>
      </c>
      <c r="W6" s="167">
        <v>23</v>
      </c>
      <c r="X6" s="167">
        <v>24</v>
      </c>
      <c r="Y6" s="167">
        <v>25</v>
      </c>
      <c r="Z6" s="167">
        <v>26</v>
      </c>
      <c r="AA6" s="167">
        <v>27</v>
      </c>
      <c r="AB6" s="167">
        <v>28</v>
      </c>
      <c r="AC6" s="167">
        <v>29</v>
      </c>
      <c r="AD6" s="167">
        <v>30</v>
      </c>
      <c r="AE6" s="167">
        <v>31</v>
      </c>
      <c r="AF6" s="167">
        <v>32</v>
      </c>
      <c r="AG6" s="167">
        <v>33</v>
      </c>
      <c r="AH6" s="167">
        <v>34</v>
      </c>
      <c r="AI6" s="167">
        <v>35</v>
      </c>
      <c r="AJ6" s="167">
        <v>36</v>
      </c>
      <c r="AK6" s="167">
        <v>37</v>
      </c>
      <c r="AL6" s="167">
        <v>38</v>
      </c>
      <c r="AM6" s="167">
        <v>39</v>
      </c>
      <c r="AN6" s="167">
        <v>40</v>
      </c>
      <c r="AO6" s="167">
        <v>41</v>
      </c>
      <c r="AP6" s="167">
        <v>42</v>
      </c>
      <c r="AQ6" s="167">
        <v>43</v>
      </c>
      <c r="AR6" s="167">
        <v>44</v>
      </c>
    </row>
    <row r="7" spans="1:44" ht="27.75" thickBot="1">
      <c r="A7" s="1230" t="s">
        <v>1185</v>
      </c>
      <c r="B7" s="1231"/>
      <c r="C7" s="1231"/>
      <c r="D7" s="1231"/>
      <c r="E7" s="1231"/>
      <c r="F7" s="1231"/>
      <c r="G7" s="1231"/>
      <c r="H7" s="1231"/>
      <c r="I7" s="1231"/>
      <c r="J7" s="1231"/>
      <c r="K7" s="1231"/>
      <c r="L7" s="1231"/>
      <c r="M7" s="1231"/>
      <c r="N7" s="1231"/>
      <c r="O7" s="1231"/>
      <c r="P7" s="1231"/>
      <c r="Q7" s="1231"/>
      <c r="R7" s="1231"/>
      <c r="S7" s="1231"/>
      <c r="T7" s="1231"/>
      <c r="U7" s="1231"/>
      <c r="V7" s="1231"/>
      <c r="W7" s="1231"/>
      <c r="X7" s="1231"/>
      <c r="Y7" s="1231"/>
      <c r="Z7" s="1231"/>
      <c r="AA7" s="1231"/>
      <c r="AB7" s="1231"/>
      <c r="AC7" s="1231"/>
      <c r="AD7" s="1231"/>
      <c r="AE7" s="1231"/>
      <c r="AF7" s="1231"/>
      <c r="AG7" s="1231"/>
      <c r="AH7" s="1231"/>
      <c r="AI7" s="1231"/>
      <c r="AJ7" s="1231"/>
      <c r="AK7" s="1231"/>
      <c r="AL7" s="1231"/>
      <c r="AM7" s="1232"/>
      <c r="AN7" s="168"/>
      <c r="AO7" s="170"/>
      <c r="AP7" s="168"/>
      <c r="AQ7" s="169"/>
      <c r="AR7" s="171"/>
    </row>
    <row r="8" spans="1:44" ht="58.5" customHeight="1">
      <c r="A8" s="1099">
        <v>1</v>
      </c>
      <c r="B8" s="1101">
        <v>735768</v>
      </c>
      <c r="C8" s="1103" t="s">
        <v>1186</v>
      </c>
      <c r="D8" s="1105">
        <v>6.5</v>
      </c>
      <c r="E8" s="1105">
        <v>97500</v>
      </c>
      <c r="F8" s="1105">
        <v>6.5</v>
      </c>
      <c r="G8" s="1107">
        <v>97500</v>
      </c>
      <c r="H8" s="1115" t="s">
        <v>60</v>
      </c>
      <c r="I8" s="1109" t="s">
        <v>2612</v>
      </c>
      <c r="J8" s="1111" t="s">
        <v>117</v>
      </c>
      <c r="K8" s="172">
        <v>1.163</v>
      </c>
      <c r="L8" s="173" t="s">
        <v>17</v>
      </c>
      <c r="M8" s="1117">
        <f>57831.71402+100</f>
        <v>57931.714019999999</v>
      </c>
      <c r="N8" s="1109" t="s">
        <v>2612</v>
      </c>
      <c r="O8" s="1109" t="s">
        <v>2941</v>
      </c>
      <c r="P8" s="1109" t="s">
        <v>1187</v>
      </c>
      <c r="Q8" s="172">
        <v>1.3</v>
      </c>
      <c r="R8" s="173" t="s">
        <v>17</v>
      </c>
      <c r="S8" s="1113">
        <v>63500</v>
      </c>
      <c r="T8" s="1115" t="s">
        <v>2941</v>
      </c>
      <c r="U8" s="1109" t="s">
        <v>2942</v>
      </c>
      <c r="V8" s="1109" t="s">
        <v>1187</v>
      </c>
      <c r="W8" s="172">
        <v>1.89</v>
      </c>
      <c r="X8" s="173" t="s">
        <v>17</v>
      </c>
      <c r="Y8" s="1113">
        <v>100000</v>
      </c>
      <c r="Z8" s="1115" t="s">
        <v>2942</v>
      </c>
      <c r="AA8" s="1109" t="s">
        <v>2561</v>
      </c>
      <c r="AB8" s="1109" t="s">
        <v>1187</v>
      </c>
      <c r="AC8" s="174">
        <f>6.5-K8-Q8-W8</f>
        <v>2.1470000000000002</v>
      </c>
      <c r="AD8" s="173" t="s">
        <v>17</v>
      </c>
      <c r="AE8" s="1113">
        <v>38202.04</v>
      </c>
      <c r="AF8" s="385"/>
      <c r="AG8" s="175"/>
      <c r="AH8" s="175"/>
      <c r="AI8" s="174"/>
      <c r="AJ8" s="175"/>
      <c r="AK8" s="384"/>
      <c r="AL8" s="385"/>
      <c r="AM8" s="175"/>
      <c r="AN8" s="175"/>
      <c r="AO8" s="174"/>
      <c r="AP8" s="175"/>
      <c r="AQ8" s="384"/>
      <c r="AR8" s="176"/>
    </row>
    <row r="9" spans="1:44" ht="58.5" customHeight="1">
      <c r="A9" s="1100"/>
      <c r="B9" s="1102"/>
      <c r="C9" s="1104"/>
      <c r="D9" s="1106"/>
      <c r="E9" s="1106"/>
      <c r="F9" s="1106"/>
      <c r="G9" s="1108"/>
      <c r="H9" s="1116"/>
      <c r="I9" s="1110"/>
      <c r="J9" s="1112"/>
      <c r="K9" s="68">
        <f>K8*G8/F8</f>
        <v>17445</v>
      </c>
      <c r="L9" s="43" t="s">
        <v>32</v>
      </c>
      <c r="M9" s="1118"/>
      <c r="N9" s="1110"/>
      <c r="O9" s="1110"/>
      <c r="P9" s="1110"/>
      <c r="Q9" s="177">
        <f>Q8*G8/F8</f>
        <v>19500</v>
      </c>
      <c r="R9" s="43" t="s">
        <v>32</v>
      </c>
      <c r="S9" s="1114"/>
      <c r="T9" s="1116"/>
      <c r="U9" s="1110"/>
      <c r="V9" s="1110"/>
      <c r="W9" s="364">
        <v>28346</v>
      </c>
      <c r="X9" s="43" t="s">
        <v>32</v>
      </c>
      <c r="Y9" s="1114"/>
      <c r="Z9" s="1116"/>
      <c r="AA9" s="1110"/>
      <c r="AB9" s="1110"/>
      <c r="AC9" s="347">
        <v>97500</v>
      </c>
      <c r="AD9" s="43" t="s">
        <v>32</v>
      </c>
      <c r="AE9" s="1114"/>
      <c r="AF9" s="354"/>
      <c r="AG9" s="347"/>
      <c r="AH9" s="347"/>
      <c r="AI9" s="355"/>
      <c r="AJ9" s="347"/>
      <c r="AK9" s="374"/>
      <c r="AL9" s="354"/>
      <c r="AM9" s="347"/>
      <c r="AN9" s="347"/>
      <c r="AO9" s="355"/>
      <c r="AP9" s="347"/>
      <c r="AQ9" s="374"/>
      <c r="AR9" s="176"/>
    </row>
    <row r="10" spans="1:44" ht="71.25" customHeight="1">
      <c r="A10" s="1124">
        <v>2</v>
      </c>
      <c r="B10" s="1126">
        <v>744982</v>
      </c>
      <c r="C10" s="1128" t="s">
        <v>1188</v>
      </c>
      <c r="D10" s="1130">
        <v>1.6020000000000003</v>
      </c>
      <c r="E10" s="1130">
        <v>22428</v>
      </c>
      <c r="F10" s="1130">
        <v>1.6020000000000003</v>
      </c>
      <c r="G10" s="1130">
        <v>22428</v>
      </c>
      <c r="H10" s="363"/>
      <c r="I10" s="364"/>
      <c r="J10" s="365"/>
      <c r="K10" s="177"/>
      <c r="L10" s="178"/>
      <c r="M10" s="366"/>
      <c r="N10" s="202" t="s">
        <v>1189</v>
      </c>
      <c r="O10" s="202" t="s">
        <v>1189</v>
      </c>
      <c r="P10" s="180" t="s">
        <v>120</v>
      </c>
      <c r="Q10" s="181">
        <v>2</v>
      </c>
      <c r="R10" s="43" t="s">
        <v>449</v>
      </c>
      <c r="S10" s="182">
        <v>50</v>
      </c>
      <c r="T10" s="372"/>
      <c r="U10" s="364"/>
      <c r="V10" s="364"/>
      <c r="W10" s="181"/>
      <c r="X10" s="364"/>
      <c r="Y10" s="374"/>
      <c r="Z10" s="721" t="s">
        <v>60</v>
      </c>
      <c r="AA10" s="713" t="s">
        <v>2956</v>
      </c>
      <c r="AB10" s="180" t="s">
        <v>120</v>
      </c>
      <c r="AC10" s="181">
        <v>2</v>
      </c>
      <c r="AD10" s="43" t="s">
        <v>449</v>
      </c>
      <c r="AE10" s="182">
        <v>50</v>
      </c>
      <c r="AF10" s="721"/>
      <c r="AG10" s="713"/>
      <c r="AH10" s="713"/>
      <c r="AI10" s="715"/>
      <c r="AJ10" s="713"/>
      <c r="AK10" s="722"/>
      <c r="AL10" s="354"/>
      <c r="AM10" s="347"/>
      <c r="AN10" s="347"/>
      <c r="AO10" s="355"/>
      <c r="AP10" s="347"/>
      <c r="AQ10" s="374"/>
      <c r="AR10" s="176"/>
    </row>
    <row r="11" spans="1:44" ht="71.25" customHeight="1">
      <c r="A11" s="1125"/>
      <c r="B11" s="1127"/>
      <c r="C11" s="1129"/>
      <c r="D11" s="1131"/>
      <c r="E11" s="1131"/>
      <c r="F11" s="1131"/>
      <c r="G11" s="1131"/>
      <c r="H11" s="363"/>
      <c r="I11" s="364"/>
      <c r="J11" s="365"/>
      <c r="K11" s="177"/>
      <c r="L11" s="178"/>
      <c r="M11" s="366"/>
      <c r="N11" s="202" t="s">
        <v>1189</v>
      </c>
      <c r="O11" s="202" t="s">
        <v>1189</v>
      </c>
      <c r="P11" s="180" t="s">
        <v>93</v>
      </c>
      <c r="Q11" s="68">
        <v>4</v>
      </c>
      <c r="R11" s="43" t="s">
        <v>449</v>
      </c>
      <c r="S11" s="182">
        <v>50</v>
      </c>
      <c r="T11" s="372"/>
      <c r="U11" s="364"/>
      <c r="V11" s="364"/>
      <c r="W11" s="181"/>
      <c r="X11" s="364"/>
      <c r="Y11" s="374"/>
      <c r="Z11" s="721"/>
      <c r="AA11" s="713"/>
      <c r="AB11" s="712"/>
      <c r="AC11" s="184"/>
      <c r="AD11" s="43"/>
      <c r="AE11" s="722"/>
      <c r="AF11" s="721"/>
      <c r="AG11" s="713"/>
      <c r="AH11" s="713"/>
      <c r="AI11" s="715"/>
      <c r="AJ11" s="713"/>
      <c r="AK11" s="722"/>
      <c r="AL11" s="354"/>
      <c r="AM11" s="347"/>
      <c r="AN11" s="347"/>
      <c r="AO11" s="355"/>
      <c r="AP11" s="347"/>
      <c r="AQ11" s="374"/>
      <c r="AR11" s="176"/>
    </row>
    <row r="12" spans="1:44" ht="56.25">
      <c r="A12" s="354">
        <v>3</v>
      </c>
      <c r="B12" s="369">
        <v>736105</v>
      </c>
      <c r="C12" s="380" t="s">
        <v>1190</v>
      </c>
      <c r="D12" s="371">
        <v>0.6</v>
      </c>
      <c r="E12" s="371">
        <v>5420</v>
      </c>
      <c r="F12" s="371">
        <v>0.6</v>
      </c>
      <c r="G12" s="368">
        <v>5420</v>
      </c>
      <c r="H12" s="363"/>
      <c r="I12" s="364"/>
      <c r="J12" s="365"/>
      <c r="K12" s="177"/>
      <c r="L12" s="52"/>
      <c r="M12" s="366"/>
      <c r="N12" s="373"/>
      <c r="O12" s="364"/>
      <c r="P12" s="364"/>
      <c r="Q12" s="181"/>
      <c r="R12" s="364"/>
      <c r="S12" s="374"/>
      <c r="T12" s="372"/>
      <c r="U12" s="364"/>
      <c r="V12" s="364"/>
      <c r="W12" s="181"/>
      <c r="X12" s="364"/>
      <c r="Y12" s="374"/>
      <c r="Z12" s="721"/>
      <c r="AA12" s="713"/>
      <c r="AB12" s="713"/>
      <c r="AC12" s="715"/>
      <c r="AD12" s="713"/>
      <c r="AE12" s="722"/>
      <c r="AF12" s="721"/>
      <c r="AG12" s="713"/>
      <c r="AH12" s="180" t="s">
        <v>93</v>
      </c>
      <c r="AI12" s="68">
        <v>4</v>
      </c>
      <c r="AJ12" s="43" t="s">
        <v>449</v>
      </c>
      <c r="AK12" s="182">
        <v>50</v>
      </c>
      <c r="AL12" s="354"/>
      <c r="AM12" s="347"/>
      <c r="AN12" s="347"/>
      <c r="AO12" s="355"/>
      <c r="AP12" s="347"/>
      <c r="AQ12" s="374"/>
      <c r="AR12" s="176"/>
    </row>
    <row r="13" spans="1:44" ht="56.25">
      <c r="A13" s="1124">
        <v>4</v>
      </c>
      <c r="B13" s="1137" t="s">
        <v>1191</v>
      </c>
      <c r="C13" s="1140" t="s">
        <v>1192</v>
      </c>
      <c r="D13" s="1130">
        <v>3.1</v>
      </c>
      <c r="E13" s="1130">
        <v>38650</v>
      </c>
      <c r="F13" s="1130">
        <v>3.1</v>
      </c>
      <c r="G13" s="1145">
        <v>38650</v>
      </c>
      <c r="H13" s="363"/>
      <c r="I13" s="364"/>
      <c r="J13" s="365"/>
      <c r="K13" s="177"/>
      <c r="L13" s="178"/>
      <c r="M13" s="366"/>
      <c r="N13" s="202" t="s">
        <v>2950</v>
      </c>
      <c r="O13" s="202" t="s">
        <v>2950</v>
      </c>
      <c r="P13" s="180" t="s">
        <v>120</v>
      </c>
      <c r="Q13" s="181">
        <v>2</v>
      </c>
      <c r="R13" s="43" t="s">
        <v>449</v>
      </c>
      <c r="S13" s="182">
        <v>50</v>
      </c>
      <c r="T13" s="372"/>
      <c r="U13" s="364"/>
      <c r="V13" s="364"/>
      <c r="W13" s="181"/>
      <c r="X13" s="364"/>
      <c r="Y13" s="374"/>
      <c r="Z13" s="721"/>
      <c r="AA13" s="713"/>
      <c r="AB13" s="713"/>
      <c r="AC13" s="715"/>
      <c r="AD13" s="713"/>
      <c r="AE13" s="722"/>
      <c r="AF13" s="721"/>
      <c r="AG13" s="713"/>
      <c r="AH13" s="713"/>
      <c r="AI13" s="715"/>
      <c r="AJ13" s="713"/>
      <c r="AK13" s="722"/>
      <c r="AL13" s="354"/>
      <c r="AM13" s="347"/>
      <c r="AN13" s="347"/>
      <c r="AO13" s="355"/>
      <c r="AP13" s="347"/>
      <c r="AQ13" s="374"/>
      <c r="AR13" s="176"/>
    </row>
    <row r="14" spans="1:44" ht="56.25">
      <c r="A14" s="1136"/>
      <c r="B14" s="1138"/>
      <c r="C14" s="1141"/>
      <c r="D14" s="1143"/>
      <c r="E14" s="1143"/>
      <c r="F14" s="1143"/>
      <c r="G14" s="1146"/>
      <c r="H14" s="377"/>
      <c r="I14" s="363"/>
      <c r="J14" s="365"/>
      <c r="K14" s="177"/>
      <c r="L14" s="178"/>
      <c r="M14" s="366"/>
      <c r="N14" s="202" t="s">
        <v>2950</v>
      </c>
      <c r="O14" s="202" t="s">
        <v>2950</v>
      </c>
      <c r="P14" s="180" t="s">
        <v>93</v>
      </c>
      <c r="Q14" s="68">
        <v>4</v>
      </c>
      <c r="R14" s="43" t="s">
        <v>449</v>
      </c>
      <c r="S14" s="182">
        <v>50</v>
      </c>
      <c r="T14" s="185"/>
      <c r="U14" s="363"/>
      <c r="V14" s="364"/>
      <c r="W14" s="181"/>
      <c r="X14" s="364"/>
      <c r="Y14" s="374"/>
      <c r="Z14" s="721"/>
      <c r="AA14" s="713"/>
      <c r="AB14" s="713"/>
      <c r="AC14" s="715"/>
      <c r="AD14" s="713"/>
      <c r="AE14" s="722"/>
      <c r="AF14" s="721"/>
      <c r="AG14" s="713"/>
      <c r="AH14" s="713"/>
      <c r="AI14" s="715"/>
      <c r="AJ14" s="713"/>
      <c r="AK14" s="722"/>
      <c r="AL14" s="354"/>
      <c r="AM14" s="347"/>
      <c r="AN14" s="347"/>
      <c r="AO14" s="355"/>
      <c r="AP14" s="347"/>
      <c r="AQ14" s="374"/>
      <c r="AR14" s="176"/>
    </row>
    <row r="15" spans="1:44" ht="56.25">
      <c r="A15" s="1136"/>
      <c r="B15" s="1138"/>
      <c r="C15" s="1141"/>
      <c r="D15" s="1143"/>
      <c r="E15" s="1143"/>
      <c r="F15" s="1143"/>
      <c r="G15" s="1146"/>
      <c r="H15" s="377"/>
      <c r="I15" s="363"/>
      <c r="J15" s="365"/>
      <c r="K15" s="177"/>
      <c r="L15" s="178"/>
      <c r="M15" s="366"/>
      <c r="N15" s="202" t="s">
        <v>1193</v>
      </c>
      <c r="O15" s="202" t="s">
        <v>1193</v>
      </c>
      <c r="P15" s="180" t="s">
        <v>120</v>
      </c>
      <c r="Q15" s="181">
        <v>2</v>
      </c>
      <c r="R15" s="43" t="s">
        <v>449</v>
      </c>
      <c r="S15" s="182">
        <v>50</v>
      </c>
      <c r="T15" s="185"/>
      <c r="U15" s="363"/>
      <c r="V15" s="364"/>
      <c r="W15" s="181"/>
      <c r="X15" s="364"/>
      <c r="Y15" s="374"/>
      <c r="Z15" s="721"/>
      <c r="AA15" s="713"/>
      <c r="AB15" s="713"/>
      <c r="AC15" s="715"/>
      <c r="AD15" s="713"/>
      <c r="AE15" s="722"/>
      <c r="AF15" s="721"/>
      <c r="AG15" s="713"/>
      <c r="AH15" s="713"/>
      <c r="AI15" s="715"/>
      <c r="AJ15" s="713"/>
      <c r="AK15" s="722"/>
      <c r="AL15" s="354"/>
      <c r="AM15" s="347"/>
      <c r="AN15" s="347"/>
      <c r="AO15" s="355"/>
      <c r="AP15" s="347"/>
      <c r="AQ15" s="374"/>
      <c r="AR15" s="176"/>
    </row>
    <row r="16" spans="1:44" ht="56.25">
      <c r="A16" s="1125"/>
      <c r="B16" s="1139"/>
      <c r="C16" s="1142"/>
      <c r="D16" s="1144"/>
      <c r="E16" s="1144"/>
      <c r="F16" s="1144"/>
      <c r="G16" s="1147"/>
      <c r="H16" s="377"/>
      <c r="I16" s="363"/>
      <c r="J16" s="365"/>
      <c r="K16" s="177"/>
      <c r="L16" s="178"/>
      <c r="M16" s="366"/>
      <c r="N16" s="202" t="s">
        <v>1193</v>
      </c>
      <c r="O16" s="202" t="s">
        <v>1193</v>
      </c>
      <c r="P16" s="180" t="s">
        <v>93</v>
      </c>
      <c r="Q16" s="68">
        <v>4</v>
      </c>
      <c r="R16" s="43" t="s">
        <v>449</v>
      </c>
      <c r="S16" s="182">
        <v>50</v>
      </c>
      <c r="T16" s="185"/>
      <c r="U16" s="363"/>
      <c r="V16" s="364"/>
      <c r="W16" s="181"/>
      <c r="X16" s="364"/>
      <c r="Y16" s="374"/>
      <c r="Z16" s="721"/>
      <c r="AA16" s="713"/>
      <c r="AB16" s="713"/>
      <c r="AC16" s="715"/>
      <c r="AD16" s="713"/>
      <c r="AE16" s="722"/>
      <c r="AF16" s="721"/>
      <c r="AG16" s="713"/>
      <c r="AH16" s="713"/>
      <c r="AI16" s="715"/>
      <c r="AJ16" s="713"/>
      <c r="AK16" s="722"/>
      <c r="AL16" s="354"/>
      <c r="AM16" s="347"/>
      <c r="AN16" s="347"/>
      <c r="AO16" s="355"/>
      <c r="AP16" s="347"/>
      <c r="AQ16" s="374"/>
      <c r="AR16" s="176"/>
    </row>
    <row r="17" spans="1:44" ht="56.25" customHeight="1">
      <c r="A17" s="1124">
        <v>5</v>
      </c>
      <c r="B17" s="1137" t="s">
        <v>1194</v>
      </c>
      <c r="C17" s="1128" t="s">
        <v>1195</v>
      </c>
      <c r="D17" s="1130">
        <v>2</v>
      </c>
      <c r="E17" s="1130">
        <v>23608</v>
      </c>
      <c r="F17" s="1130">
        <v>2</v>
      </c>
      <c r="G17" s="1145">
        <v>23608</v>
      </c>
      <c r="H17" s="1148"/>
      <c r="I17" s="1149"/>
      <c r="J17" s="365"/>
      <c r="K17" s="177"/>
      <c r="L17" s="358"/>
      <c r="M17" s="366"/>
      <c r="N17" s="373"/>
      <c r="O17" s="364"/>
      <c r="P17" s="364"/>
      <c r="Q17" s="181"/>
      <c r="R17" s="364"/>
      <c r="S17" s="374"/>
      <c r="T17" s="1150"/>
      <c r="U17" s="1151"/>
      <c r="V17" s="186"/>
      <c r="W17" s="187"/>
      <c r="X17" s="186"/>
      <c r="Y17" s="188"/>
      <c r="Z17" s="721"/>
      <c r="AA17" s="713"/>
      <c r="AB17" s="713"/>
      <c r="AC17" s="715"/>
      <c r="AD17" s="713"/>
      <c r="AE17" s="722"/>
      <c r="AF17" s="721"/>
      <c r="AG17" s="713"/>
      <c r="AH17" s="713"/>
      <c r="AI17" s="715"/>
      <c r="AJ17" s="713"/>
      <c r="AK17" s="722"/>
      <c r="AL17" s="354"/>
      <c r="AM17" s="347"/>
      <c r="AN17" s="180" t="s">
        <v>93</v>
      </c>
      <c r="AO17" s="68">
        <v>4</v>
      </c>
      <c r="AP17" s="43" t="s">
        <v>449</v>
      </c>
      <c r="AQ17" s="182">
        <v>50</v>
      </c>
      <c r="AR17" s="176"/>
    </row>
    <row r="18" spans="1:44" ht="18.75">
      <c r="A18" s="1125"/>
      <c r="B18" s="1139"/>
      <c r="C18" s="1129"/>
      <c r="D18" s="1144"/>
      <c r="E18" s="1144"/>
      <c r="F18" s="1144"/>
      <c r="G18" s="1147"/>
      <c r="H18" s="377"/>
      <c r="I18" s="363"/>
      <c r="J18" s="365"/>
      <c r="K18" s="177"/>
      <c r="L18" s="358"/>
      <c r="M18" s="366"/>
      <c r="N18" s="373"/>
      <c r="O18" s="364"/>
      <c r="P18" s="364"/>
      <c r="Q18" s="181"/>
      <c r="R18" s="364"/>
      <c r="S18" s="374"/>
      <c r="T18" s="382"/>
      <c r="U18" s="383"/>
      <c r="V18" s="186"/>
      <c r="W18" s="187"/>
      <c r="X18" s="186"/>
      <c r="Y18" s="188"/>
      <c r="Z18" s="721"/>
      <c r="AA18" s="713"/>
      <c r="AB18" s="713"/>
      <c r="AC18" s="715"/>
      <c r="AD18" s="713"/>
      <c r="AE18" s="722"/>
      <c r="AF18" s="721"/>
      <c r="AG18" s="713"/>
      <c r="AH18" s="713"/>
      <c r="AI18" s="715"/>
      <c r="AJ18" s="713"/>
      <c r="AK18" s="722"/>
      <c r="AL18" s="354"/>
      <c r="AM18" s="347"/>
      <c r="AN18" s="347"/>
      <c r="AO18" s="355"/>
      <c r="AP18" s="347"/>
      <c r="AQ18" s="374"/>
      <c r="AR18" s="176"/>
    </row>
    <row r="19" spans="1:44" ht="56.25">
      <c r="A19" s="354">
        <v>6</v>
      </c>
      <c r="B19" s="337" t="s">
        <v>1196</v>
      </c>
      <c r="C19" s="380" t="s">
        <v>1197</v>
      </c>
      <c r="D19" s="371">
        <v>1.9</v>
      </c>
      <c r="E19" s="371">
        <v>16749</v>
      </c>
      <c r="F19" s="371">
        <v>1.9</v>
      </c>
      <c r="G19" s="368">
        <v>16749</v>
      </c>
      <c r="H19" s="363"/>
      <c r="I19" s="364"/>
      <c r="J19" s="365"/>
      <c r="K19" s="177"/>
      <c r="L19" s="178"/>
      <c r="M19" s="356"/>
      <c r="N19" s="373"/>
      <c r="O19" s="364"/>
      <c r="P19" s="364"/>
      <c r="Q19" s="181"/>
      <c r="R19" s="364"/>
      <c r="S19" s="374"/>
      <c r="T19" s="372"/>
      <c r="U19" s="364"/>
      <c r="V19" s="364"/>
      <c r="W19" s="181"/>
      <c r="X19" s="364"/>
      <c r="Y19" s="374"/>
      <c r="Z19" s="721"/>
      <c r="AA19" s="713"/>
      <c r="AB19" s="713"/>
      <c r="AC19" s="715"/>
      <c r="AD19" s="713"/>
      <c r="AE19" s="722"/>
      <c r="AF19" s="721"/>
      <c r="AG19" s="713"/>
      <c r="AH19" s="713"/>
      <c r="AI19" s="715"/>
      <c r="AJ19" s="713"/>
      <c r="AK19" s="722"/>
      <c r="AL19" s="354"/>
      <c r="AM19" s="347"/>
      <c r="AN19" s="180" t="s">
        <v>93</v>
      </c>
      <c r="AO19" s="68">
        <v>4</v>
      </c>
      <c r="AP19" s="43" t="s">
        <v>449</v>
      </c>
      <c r="AQ19" s="182">
        <v>50</v>
      </c>
      <c r="AR19" s="176"/>
    </row>
    <row r="20" spans="1:44" ht="63" customHeight="1">
      <c r="A20" s="354">
        <v>7</v>
      </c>
      <c r="B20" s="1102">
        <v>736760</v>
      </c>
      <c r="C20" s="1104" t="s">
        <v>1198</v>
      </c>
      <c r="D20" s="1106">
        <v>7.4</v>
      </c>
      <c r="E20" s="1106">
        <v>59200</v>
      </c>
      <c r="F20" s="1106">
        <v>7.4</v>
      </c>
      <c r="G20" s="1108">
        <v>59200</v>
      </c>
      <c r="H20" s="373"/>
      <c r="I20" s="364"/>
      <c r="J20" s="364"/>
      <c r="K20" s="177"/>
      <c r="L20" s="178"/>
      <c r="M20" s="356"/>
      <c r="N20" s="1158" t="s">
        <v>60</v>
      </c>
      <c r="O20" s="1152" t="s">
        <v>2951</v>
      </c>
      <c r="P20" s="1020" t="s">
        <v>114</v>
      </c>
      <c r="Q20" s="181">
        <v>3.82</v>
      </c>
      <c r="R20" s="358" t="s">
        <v>17</v>
      </c>
      <c r="S20" s="1114">
        <v>60000</v>
      </c>
      <c r="T20" s="1156" t="s">
        <v>1199</v>
      </c>
      <c r="U20" s="1152" t="s">
        <v>1200</v>
      </c>
      <c r="V20" s="902" t="s">
        <v>31</v>
      </c>
      <c r="W20" s="181">
        <v>0.2</v>
      </c>
      <c r="X20" s="358" t="s">
        <v>17</v>
      </c>
      <c r="Y20" s="1114">
        <v>10971.79</v>
      </c>
      <c r="Z20" s="721"/>
      <c r="AA20" s="713"/>
      <c r="AB20" s="713"/>
      <c r="AC20" s="715"/>
      <c r="AD20" s="713"/>
      <c r="AE20" s="722"/>
      <c r="AF20" s="199" t="s">
        <v>60</v>
      </c>
      <c r="AG20" s="714" t="s">
        <v>2974</v>
      </c>
      <c r="AH20" s="720" t="s">
        <v>120</v>
      </c>
      <c r="AI20" s="715">
        <v>2</v>
      </c>
      <c r="AJ20" s="719" t="s">
        <v>449</v>
      </c>
      <c r="AK20" s="183">
        <v>50</v>
      </c>
      <c r="AL20" s="354"/>
      <c r="AM20" s="347"/>
      <c r="AN20" s="347"/>
      <c r="AO20" s="355"/>
      <c r="AP20" s="347"/>
      <c r="AQ20" s="374"/>
      <c r="AR20" s="176"/>
    </row>
    <row r="21" spans="1:44" ht="18.75">
      <c r="A21" s="354">
        <v>8</v>
      </c>
      <c r="B21" s="1102"/>
      <c r="C21" s="1104"/>
      <c r="D21" s="1106"/>
      <c r="E21" s="1106"/>
      <c r="F21" s="1106"/>
      <c r="G21" s="1108"/>
      <c r="H21" s="373"/>
      <c r="I21" s="364"/>
      <c r="J21" s="364"/>
      <c r="K21" s="177"/>
      <c r="L21" s="178"/>
      <c r="M21" s="356"/>
      <c r="N21" s="1159"/>
      <c r="O21" s="1153"/>
      <c r="P21" s="1020"/>
      <c r="Q21" s="177">
        <v>30400</v>
      </c>
      <c r="R21" s="43" t="s">
        <v>32</v>
      </c>
      <c r="S21" s="1114"/>
      <c r="T21" s="1157"/>
      <c r="U21" s="1153"/>
      <c r="V21" s="902"/>
      <c r="W21" s="364">
        <v>1600</v>
      </c>
      <c r="X21" s="43" t="s">
        <v>32</v>
      </c>
      <c r="Y21" s="1114"/>
      <c r="Z21" s="721"/>
      <c r="AA21" s="713"/>
      <c r="AB21" s="713"/>
      <c r="AC21" s="715"/>
      <c r="AD21" s="713"/>
      <c r="AE21" s="722"/>
      <c r="AF21" s="199"/>
      <c r="AG21" s="714"/>
      <c r="AH21" s="23"/>
      <c r="AI21" s="713"/>
      <c r="AJ21" s="43"/>
      <c r="AK21" s="183"/>
      <c r="AL21" s="354"/>
      <c r="AM21" s="347"/>
      <c r="AN21" s="347"/>
      <c r="AO21" s="355"/>
      <c r="AP21" s="347"/>
      <c r="AQ21" s="374"/>
      <c r="AR21" s="176"/>
    </row>
    <row r="22" spans="1:44" ht="18.75" customHeight="1">
      <c r="A22" s="1100">
        <v>9</v>
      </c>
      <c r="B22" s="1102">
        <v>749919</v>
      </c>
      <c r="C22" s="1104" t="s">
        <v>1201</v>
      </c>
      <c r="D22" s="1106">
        <v>2.1</v>
      </c>
      <c r="E22" s="1106">
        <v>18900</v>
      </c>
      <c r="F22" s="1106">
        <v>2.1</v>
      </c>
      <c r="G22" s="1108">
        <v>18900</v>
      </c>
      <c r="H22" s="1154" t="s">
        <v>2943</v>
      </c>
      <c r="I22" s="1110" t="s">
        <v>2943</v>
      </c>
      <c r="J22" s="1112" t="s">
        <v>117</v>
      </c>
      <c r="K22" s="181">
        <v>0.04</v>
      </c>
      <c r="L22" s="358" t="s">
        <v>17</v>
      </c>
      <c r="M22" s="1160">
        <v>36796.92</v>
      </c>
      <c r="N22" s="1158" t="s">
        <v>2952</v>
      </c>
      <c r="O22" s="1158" t="s">
        <v>2953</v>
      </c>
      <c r="P22" s="1020" t="s">
        <v>114</v>
      </c>
      <c r="Q22" s="181">
        <v>1.4</v>
      </c>
      <c r="R22" s="358" t="s">
        <v>17</v>
      </c>
      <c r="S22" s="1114">
        <v>16450</v>
      </c>
      <c r="T22" s="189"/>
      <c r="U22" s="12"/>
      <c r="V22" s="12"/>
      <c r="W22" s="12"/>
      <c r="X22" s="12"/>
      <c r="Y22" s="190"/>
      <c r="Z22" s="721"/>
      <c r="AA22" s="713"/>
      <c r="AB22" s="713"/>
      <c r="AC22" s="715"/>
      <c r="AD22" s="713"/>
      <c r="AE22" s="722"/>
      <c r="AF22" s="721"/>
      <c r="AG22" s="713"/>
      <c r="AH22" s="713"/>
      <c r="AI22" s="715"/>
      <c r="AJ22" s="713"/>
      <c r="AK22" s="722"/>
      <c r="AL22" s="354"/>
      <c r="AM22" s="347"/>
      <c r="AN22" s="347"/>
      <c r="AO22" s="355"/>
      <c r="AP22" s="347"/>
      <c r="AQ22" s="374"/>
      <c r="AR22" s="176"/>
    </row>
    <row r="23" spans="1:44" ht="36" customHeight="1">
      <c r="A23" s="1100"/>
      <c r="B23" s="1102"/>
      <c r="C23" s="1104"/>
      <c r="D23" s="1106"/>
      <c r="E23" s="1106"/>
      <c r="F23" s="1106"/>
      <c r="G23" s="1108"/>
      <c r="H23" s="1155"/>
      <c r="I23" s="1110"/>
      <c r="J23" s="1112"/>
      <c r="K23" s="68">
        <v>75</v>
      </c>
      <c r="L23" s="43" t="s">
        <v>32</v>
      </c>
      <c r="M23" s="1160"/>
      <c r="N23" s="1159"/>
      <c r="O23" s="1159"/>
      <c r="P23" s="1020"/>
      <c r="Q23" s="177">
        <f>Q22*G22/F22</f>
        <v>12600</v>
      </c>
      <c r="R23" s="43" t="s">
        <v>32</v>
      </c>
      <c r="S23" s="1114"/>
      <c r="T23" s="189"/>
      <c r="U23" s="12"/>
      <c r="V23" s="12"/>
      <c r="W23" s="12"/>
      <c r="X23" s="12"/>
      <c r="Y23" s="190"/>
      <c r="Z23" s="721"/>
      <c r="AA23" s="713"/>
      <c r="AB23" s="713"/>
      <c r="AC23" s="715"/>
      <c r="AD23" s="713"/>
      <c r="AE23" s="722"/>
      <c r="AF23" s="721"/>
      <c r="AG23" s="713"/>
      <c r="AH23" s="713"/>
      <c r="AI23" s="715"/>
      <c r="AJ23" s="713"/>
      <c r="AK23" s="722"/>
      <c r="AL23" s="354"/>
      <c r="AM23" s="347"/>
      <c r="AN23" s="347"/>
      <c r="AO23" s="355"/>
      <c r="AP23" s="347"/>
      <c r="AQ23" s="374"/>
      <c r="AR23" s="176"/>
    </row>
    <row r="24" spans="1:44" ht="56.25">
      <c r="A24" s="1100"/>
      <c r="B24" s="1102"/>
      <c r="C24" s="1104"/>
      <c r="D24" s="1106"/>
      <c r="E24" s="1106"/>
      <c r="F24" s="1106"/>
      <c r="G24" s="1108"/>
      <c r="H24" s="1149"/>
      <c r="I24" s="1110"/>
      <c r="J24" s="902"/>
      <c r="K24" s="177"/>
      <c r="L24" s="358"/>
      <c r="M24" s="1160"/>
      <c r="N24" s="381" t="s">
        <v>2943</v>
      </c>
      <c r="O24" s="381" t="s">
        <v>2943</v>
      </c>
      <c r="P24" s="180" t="s">
        <v>120</v>
      </c>
      <c r="Q24" s="181">
        <v>2</v>
      </c>
      <c r="R24" s="43" t="s">
        <v>449</v>
      </c>
      <c r="S24" s="182">
        <v>50</v>
      </c>
      <c r="T24" s="189"/>
      <c r="U24" s="12"/>
      <c r="V24" s="12"/>
      <c r="W24" s="61"/>
      <c r="X24" s="12"/>
      <c r="Y24" s="190"/>
      <c r="Z24" s="721"/>
      <c r="AA24" s="713"/>
      <c r="AB24" s="713"/>
      <c r="AC24" s="715"/>
      <c r="AD24" s="713"/>
      <c r="AE24" s="722"/>
      <c r="AF24" s="721"/>
      <c r="AG24" s="713"/>
      <c r="AH24" s="713"/>
      <c r="AI24" s="715"/>
      <c r="AJ24" s="713"/>
      <c r="AK24" s="722"/>
      <c r="AL24" s="354"/>
      <c r="AM24" s="347"/>
      <c r="AN24" s="347"/>
      <c r="AO24" s="355"/>
      <c r="AP24" s="347"/>
      <c r="AQ24" s="374"/>
      <c r="AR24" s="176"/>
    </row>
    <row r="25" spans="1:44" ht="56.25">
      <c r="A25" s="1100"/>
      <c r="B25" s="1102"/>
      <c r="C25" s="1104"/>
      <c r="D25" s="1106"/>
      <c r="E25" s="1106"/>
      <c r="F25" s="1106"/>
      <c r="G25" s="1108"/>
      <c r="H25" s="1149"/>
      <c r="I25" s="1110"/>
      <c r="J25" s="902"/>
      <c r="K25" s="68"/>
      <c r="L25" s="43"/>
      <c r="M25" s="1160"/>
      <c r="N25" s="381" t="s">
        <v>2943</v>
      </c>
      <c r="O25" s="381" t="s">
        <v>2943</v>
      </c>
      <c r="P25" s="180" t="s">
        <v>93</v>
      </c>
      <c r="Q25" s="68">
        <v>4</v>
      </c>
      <c r="R25" s="43" t="s">
        <v>449</v>
      </c>
      <c r="S25" s="182">
        <v>50</v>
      </c>
      <c r="T25" s="189"/>
      <c r="U25" s="12"/>
      <c r="V25" s="12"/>
      <c r="W25" s="61"/>
      <c r="X25" s="12"/>
      <c r="Y25" s="190"/>
      <c r="Z25" s="721"/>
      <c r="AA25" s="713"/>
      <c r="AB25" s="713"/>
      <c r="AC25" s="715"/>
      <c r="AD25" s="713"/>
      <c r="AE25" s="722"/>
      <c r="AF25" s="721"/>
      <c r="AG25" s="713"/>
      <c r="AH25" s="713"/>
      <c r="AI25" s="715"/>
      <c r="AJ25" s="713"/>
      <c r="AK25" s="722"/>
      <c r="AL25" s="354"/>
      <c r="AM25" s="347"/>
      <c r="AN25" s="347"/>
      <c r="AO25" s="355"/>
      <c r="AP25" s="347"/>
      <c r="AQ25" s="374"/>
      <c r="AR25" s="176"/>
    </row>
    <row r="26" spans="1:44" ht="18.75">
      <c r="A26" s="1124">
        <v>10</v>
      </c>
      <c r="B26" s="1137" t="s">
        <v>1202</v>
      </c>
      <c r="C26" s="1128" t="s">
        <v>1203</v>
      </c>
      <c r="D26" s="1130">
        <v>3.77</v>
      </c>
      <c r="E26" s="1130">
        <v>22967</v>
      </c>
      <c r="F26" s="1130">
        <v>3.77</v>
      </c>
      <c r="G26" s="1145">
        <v>22967</v>
      </c>
      <c r="H26" s="363"/>
      <c r="I26" s="364"/>
      <c r="J26" s="364"/>
      <c r="K26" s="177"/>
      <c r="L26" s="178"/>
      <c r="M26" s="366"/>
      <c r="N26" s="1158" t="s">
        <v>60</v>
      </c>
      <c r="O26" s="1152" t="s">
        <v>2613</v>
      </c>
      <c r="P26" s="1020" t="s">
        <v>114</v>
      </c>
      <c r="Q26" s="181">
        <v>1.9</v>
      </c>
      <c r="R26" s="358" t="s">
        <v>17</v>
      </c>
      <c r="S26" s="1114">
        <v>19800</v>
      </c>
      <c r="T26" s="189"/>
      <c r="U26" s="12"/>
      <c r="V26" s="12"/>
      <c r="W26" s="61"/>
      <c r="X26" s="12"/>
      <c r="Y26" s="190"/>
      <c r="Z26" s="721"/>
      <c r="AA26" s="713"/>
      <c r="AB26" s="713"/>
      <c r="AC26" s="715"/>
      <c r="AD26" s="713"/>
      <c r="AE26" s="722"/>
      <c r="AF26" s="721"/>
      <c r="AG26" s="713"/>
      <c r="AH26" s="713"/>
      <c r="AI26" s="715"/>
      <c r="AJ26" s="713"/>
      <c r="AK26" s="722"/>
      <c r="AL26" s="354"/>
      <c r="AM26" s="347"/>
      <c r="AN26" s="347"/>
      <c r="AO26" s="355"/>
      <c r="AP26" s="347"/>
      <c r="AQ26" s="374"/>
      <c r="AR26" s="176"/>
    </row>
    <row r="27" spans="1:44" ht="18.75">
      <c r="A27" s="1125"/>
      <c r="B27" s="1139"/>
      <c r="C27" s="1129"/>
      <c r="D27" s="1144"/>
      <c r="E27" s="1144"/>
      <c r="F27" s="1144"/>
      <c r="G27" s="1147"/>
      <c r="H27" s="363"/>
      <c r="I27" s="364"/>
      <c r="J27" s="364"/>
      <c r="K27" s="177"/>
      <c r="L27" s="178"/>
      <c r="M27" s="366"/>
      <c r="N27" s="1159"/>
      <c r="O27" s="1153"/>
      <c r="P27" s="1020"/>
      <c r="Q27" s="177">
        <f>Q26*G26/F26</f>
        <v>11574.880636604774</v>
      </c>
      <c r="R27" s="43" t="s">
        <v>32</v>
      </c>
      <c r="S27" s="1114"/>
      <c r="T27" s="189"/>
      <c r="U27" s="12"/>
      <c r="V27" s="12"/>
      <c r="W27" s="61"/>
      <c r="X27" s="12"/>
      <c r="Y27" s="190"/>
      <c r="Z27" s="721"/>
      <c r="AA27" s="713"/>
      <c r="AB27" s="713"/>
      <c r="AC27" s="715"/>
      <c r="AD27" s="713"/>
      <c r="AE27" s="722"/>
      <c r="AF27" s="721"/>
      <c r="AG27" s="713"/>
      <c r="AH27" s="713"/>
      <c r="AI27" s="715"/>
      <c r="AJ27" s="713"/>
      <c r="AK27" s="722"/>
      <c r="AL27" s="361"/>
      <c r="AM27" s="352"/>
      <c r="AN27" s="347"/>
      <c r="AO27" s="355"/>
      <c r="AP27" s="347"/>
      <c r="AQ27" s="374"/>
      <c r="AR27" s="176"/>
    </row>
    <row r="28" spans="1:44" ht="18.75">
      <c r="A28" s="1100">
        <v>11</v>
      </c>
      <c r="B28" s="1102">
        <v>742129</v>
      </c>
      <c r="C28" s="1104" t="s">
        <v>1204</v>
      </c>
      <c r="D28" s="1106">
        <v>1.9</v>
      </c>
      <c r="E28" s="1106">
        <v>18270</v>
      </c>
      <c r="F28" s="1106">
        <v>1.9</v>
      </c>
      <c r="G28" s="1108">
        <v>18270</v>
      </c>
      <c r="H28" s="1116" t="s">
        <v>60</v>
      </c>
      <c r="I28" s="1110" t="s">
        <v>2613</v>
      </c>
      <c r="J28" s="1020" t="s">
        <v>114</v>
      </c>
      <c r="K28" s="181">
        <v>1.903</v>
      </c>
      <c r="L28" s="358" t="s">
        <v>17</v>
      </c>
      <c r="M28" s="1166">
        <v>24517.86938</v>
      </c>
      <c r="N28" s="10"/>
      <c r="O28" s="12"/>
      <c r="P28" s="12"/>
      <c r="Q28" s="12"/>
      <c r="R28" s="12"/>
      <c r="S28" s="191"/>
      <c r="T28" s="354"/>
      <c r="U28" s="347"/>
      <c r="V28" s="347"/>
      <c r="W28" s="355"/>
      <c r="X28" s="364"/>
      <c r="Y28" s="374"/>
      <c r="Z28" s="721"/>
      <c r="AA28" s="713"/>
      <c r="AB28" s="713"/>
      <c r="AC28" s="715"/>
      <c r="AD28" s="713"/>
      <c r="AE28" s="722"/>
      <c r="AF28" s="721"/>
      <c r="AG28" s="713"/>
      <c r="AH28" s="713"/>
      <c r="AI28" s="715"/>
      <c r="AJ28" s="713"/>
      <c r="AK28" s="722"/>
      <c r="AL28" s="1161"/>
      <c r="AM28" s="1162"/>
      <c r="AN28" s="359"/>
      <c r="AO28" s="360"/>
      <c r="AP28" s="359"/>
      <c r="AQ28" s="188"/>
      <c r="AR28" s="176"/>
    </row>
    <row r="29" spans="1:44" ht="18.75">
      <c r="A29" s="1100"/>
      <c r="B29" s="1102"/>
      <c r="C29" s="1104"/>
      <c r="D29" s="1106"/>
      <c r="E29" s="1106"/>
      <c r="F29" s="1106"/>
      <c r="G29" s="1108"/>
      <c r="H29" s="1116"/>
      <c r="I29" s="1110"/>
      <c r="J29" s="1020"/>
      <c r="K29" s="177">
        <v>21151.7</v>
      </c>
      <c r="L29" s="43" t="s">
        <v>32</v>
      </c>
      <c r="M29" s="1166"/>
      <c r="N29" s="10"/>
      <c r="O29" s="12"/>
      <c r="P29" s="12"/>
      <c r="Q29" s="12"/>
      <c r="R29" s="12"/>
      <c r="S29" s="191"/>
      <c r="T29" s="354"/>
      <c r="U29" s="347"/>
      <c r="V29" s="347"/>
      <c r="W29" s="355"/>
      <c r="X29" s="364"/>
      <c r="Y29" s="374"/>
      <c r="Z29" s="721"/>
      <c r="AA29" s="713"/>
      <c r="AB29" s="713"/>
      <c r="AC29" s="715"/>
      <c r="AD29" s="713"/>
      <c r="AE29" s="722"/>
      <c r="AF29" s="721"/>
      <c r="AG29" s="713"/>
      <c r="AH29" s="713"/>
      <c r="AI29" s="715"/>
      <c r="AJ29" s="713"/>
      <c r="AK29" s="722"/>
      <c r="AL29" s="354"/>
      <c r="AM29" s="347"/>
      <c r="AN29" s="347"/>
      <c r="AO29" s="355"/>
      <c r="AP29" s="347"/>
      <c r="AQ29" s="374"/>
      <c r="AR29" s="176"/>
    </row>
    <row r="30" spans="1:44" ht="18.75">
      <c r="A30" s="1100">
        <v>12</v>
      </c>
      <c r="B30" s="1102">
        <v>742353</v>
      </c>
      <c r="C30" s="1104" t="s">
        <v>1205</v>
      </c>
      <c r="D30" s="1106">
        <v>2.7</v>
      </c>
      <c r="E30" s="1106">
        <v>25300</v>
      </c>
      <c r="F30" s="1106">
        <v>2.7</v>
      </c>
      <c r="G30" s="1108">
        <v>25300</v>
      </c>
      <c r="H30" s="570"/>
      <c r="I30" s="569"/>
      <c r="J30" s="365"/>
      <c r="K30" s="177"/>
      <c r="L30" s="178"/>
      <c r="M30" s="366"/>
      <c r="N30" s="1163" t="s">
        <v>60</v>
      </c>
      <c r="O30" s="1008" t="s">
        <v>2954</v>
      </c>
      <c r="P30" s="1020" t="s">
        <v>114</v>
      </c>
      <c r="Q30" s="355">
        <v>2.4</v>
      </c>
      <c r="R30" s="358" t="s">
        <v>17</v>
      </c>
      <c r="S30" s="1114">
        <v>30050</v>
      </c>
      <c r="T30" s="354"/>
      <c r="U30" s="347"/>
      <c r="V30" s="347"/>
      <c r="W30" s="355"/>
      <c r="X30" s="364"/>
      <c r="Y30" s="374"/>
      <c r="Z30" s="19"/>
      <c r="AA30" s="19"/>
      <c r="AB30" s="19"/>
      <c r="AC30" s="19"/>
      <c r="AD30" s="19"/>
      <c r="AE30" s="19"/>
      <c r="AF30" s="1164"/>
      <c r="AG30" s="1165"/>
      <c r="AH30" s="716"/>
      <c r="AI30" s="717"/>
      <c r="AJ30" s="716"/>
      <c r="AK30" s="188"/>
      <c r="AL30" s="354"/>
      <c r="AM30" s="347"/>
      <c r="AN30" s="347"/>
      <c r="AO30" s="355"/>
      <c r="AP30" s="347"/>
      <c r="AQ30" s="374"/>
      <c r="AR30" s="176"/>
    </row>
    <row r="31" spans="1:44" ht="18.75">
      <c r="A31" s="1100"/>
      <c r="B31" s="1102"/>
      <c r="C31" s="1104"/>
      <c r="D31" s="1106"/>
      <c r="E31" s="1106"/>
      <c r="F31" s="1106"/>
      <c r="G31" s="1108"/>
      <c r="H31" s="570"/>
      <c r="I31" s="569"/>
      <c r="J31" s="365"/>
      <c r="K31" s="177"/>
      <c r="L31" s="178"/>
      <c r="M31" s="366"/>
      <c r="N31" s="1163"/>
      <c r="O31" s="1008"/>
      <c r="P31" s="1020"/>
      <c r="Q31" s="51">
        <f>Q30*G30/F30</f>
        <v>22488.888888888887</v>
      </c>
      <c r="R31" s="43" t="s">
        <v>32</v>
      </c>
      <c r="S31" s="1114"/>
      <c r="T31" s="354"/>
      <c r="U31" s="347"/>
      <c r="V31" s="347"/>
      <c r="W31" s="355"/>
      <c r="X31" s="364"/>
      <c r="Y31" s="374"/>
      <c r="Z31" s="19"/>
      <c r="AA31" s="19"/>
      <c r="AB31" s="19"/>
      <c r="AC31" s="19"/>
      <c r="AD31" s="19"/>
      <c r="AE31" s="19"/>
      <c r="AF31" s="189"/>
      <c r="AG31" s="12"/>
      <c r="AH31" s="12"/>
      <c r="AI31" s="192"/>
      <c r="AJ31" s="12"/>
      <c r="AK31" s="190"/>
      <c r="AL31" s="354"/>
      <c r="AM31" s="347"/>
      <c r="AN31" s="347"/>
      <c r="AO31" s="355"/>
      <c r="AP31" s="347"/>
      <c r="AQ31" s="374"/>
      <c r="AR31" s="176"/>
    </row>
    <row r="32" spans="1:44" ht="18.75">
      <c r="A32" s="1100">
        <v>13</v>
      </c>
      <c r="B32" s="1102" t="s">
        <v>1206</v>
      </c>
      <c r="C32" s="1104" t="s">
        <v>1207</v>
      </c>
      <c r="D32" s="1106">
        <v>0.37</v>
      </c>
      <c r="E32" s="1106">
        <v>3700</v>
      </c>
      <c r="F32" s="1106">
        <v>0.37</v>
      </c>
      <c r="G32" s="1108">
        <v>3700</v>
      </c>
      <c r="H32" s="570"/>
      <c r="I32" s="569"/>
      <c r="J32" s="365"/>
      <c r="K32" s="177"/>
      <c r="L32" s="178"/>
      <c r="M32" s="366"/>
      <c r="N32" s="373"/>
      <c r="O32" s="364"/>
      <c r="P32" s="364"/>
      <c r="Q32" s="181"/>
      <c r="R32" s="364"/>
      <c r="S32" s="374"/>
      <c r="T32" s="354"/>
      <c r="U32" s="347"/>
      <c r="V32" s="347"/>
      <c r="W32" s="355"/>
      <c r="X32" s="364"/>
      <c r="Y32" s="374"/>
      <c r="Z32" s="1100" t="s">
        <v>60</v>
      </c>
      <c r="AA32" s="1008" t="s">
        <v>2710</v>
      </c>
      <c r="AB32" s="902" t="s">
        <v>31</v>
      </c>
      <c r="AC32" s="715">
        <v>0.37</v>
      </c>
      <c r="AD32" s="719" t="s">
        <v>17</v>
      </c>
      <c r="AE32" s="1114">
        <v>55300</v>
      </c>
      <c r="AF32" s="189"/>
      <c r="AG32" s="12"/>
      <c r="AH32" s="12"/>
      <c r="AI32" s="192"/>
      <c r="AJ32" s="12"/>
      <c r="AK32" s="190"/>
      <c r="AL32" s="354"/>
      <c r="AM32" s="347"/>
      <c r="AN32" s="347"/>
      <c r="AO32" s="355"/>
      <c r="AP32" s="347"/>
      <c r="AQ32" s="374"/>
      <c r="AR32" s="176"/>
    </row>
    <row r="33" spans="1:44" ht="18.75">
      <c r="A33" s="1100"/>
      <c r="B33" s="1102"/>
      <c r="C33" s="1104"/>
      <c r="D33" s="1106"/>
      <c r="E33" s="1106"/>
      <c r="F33" s="1106"/>
      <c r="G33" s="1108"/>
      <c r="H33" s="570"/>
      <c r="I33" s="569"/>
      <c r="J33" s="365"/>
      <c r="K33" s="177"/>
      <c r="L33" s="178"/>
      <c r="M33" s="366"/>
      <c r="N33" s="373"/>
      <c r="O33" s="364"/>
      <c r="P33" s="364"/>
      <c r="Q33" s="181"/>
      <c r="R33" s="364"/>
      <c r="S33" s="374"/>
      <c r="T33" s="354"/>
      <c r="U33" s="347"/>
      <c r="V33" s="347"/>
      <c r="W33" s="355"/>
      <c r="X33" s="364"/>
      <c r="Y33" s="374"/>
      <c r="Z33" s="1100"/>
      <c r="AA33" s="1008"/>
      <c r="AB33" s="902"/>
      <c r="AC33" s="715">
        <f>E32</f>
        <v>3700</v>
      </c>
      <c r="AD33" s="43" t="s">
        <v>32</v>
      </c>
      <c r="AE33" s="1114"/>
      <c r="AF33" s="189"/>
      <c r="AG33" s="12"/>
      <c r="AH33" s="12"/>
      <c r="AI33" s="192"/>
      <c r="AJ33" s="12"/>
      <c r="AK33" s="190"/>
      <c r="AL33" s="354"/>
      <c r="AM33" s="347"/>
      <c r="AN33" s="347"/>
      <c r="AO33" s="355"/>
      <c r="AP33" s="347"/>
      <c r="AQ33" s="374"/>
      <c r="AR33" s="176"/>
    </row>
    <row r="34" spans="1:44" ht="18.75">
      <c r="A34" s="1124">
        <v>14</v>
      </c>
      <c r="B34" s="1126">
        <v>735993</v>
      </c>
      <c r="C34" s="1128" t="s">
        <v>1208</v>
      </c>
      <c r="D34" s="1130">
        <v>0.9</v>
      </c>
      <c r="E34" s="1130">
        <v>6181</v>
      </c>
      <c r="F34" s="1130">
        <v>0.9</v>
      </c>
      <c r="G34" s="1145">
        <v>6181</v>
      </c>
      <c r="H34" s="1148" t="s">
        <v>60</v>
      </c>
      <c r="I34" s="1061" t="s">
        <v>2733</v>
      </c>
      <c r="J34" s="902" t="s">
        <v>31</v>
      </c>
      <c r="K34" s="181">
        <v>0.9</v>
      </c>
      <c r="L34" s="358" t="s">
        <v>17</v>
      </c>
      <c r="M34" s="1169">
        <f>38040.05+8455.05219</f>
        <v>46495.102190000005</v>
      </c>
      <c r="N34" s="10"/>
      <c r="O34" s="12"/>
      <c r="P34" s="12"/>
      <c r="Q34" s="12"/>
      <c r="R34" s="12"/>
      <c r="S34" s="191"/>
      <c r="T34" s="354"/>
      <c r="U34" s="347"/>
      <c r="V34" s="347"/>
      <c r="W34" s="355"/>
      <c r="X34" s="364"/>
      <c r="Y34" s="374"/>
      <c r="Z34" s="721"/>
      <c r="AA34" s="713"/>
      <c r="AB34" s="713"/>
      <c r="AC34" s="715"/>
      <c r="AD34" s="713"/>
      <c r="AE34" s="722"/>
      <c r="AF34" s="721"/>
      <c r="AG34" s="713"/>
      <c r="AH34" s="713"/>
      <c r="AI34" s="715"/>
      <c r="AJ34" s="713"/>
      <c r="AK34" s="722"/>
      <c r="AL34" s="354"/>
      <c r="AM34" s="347"/>
      <c r="AN34" s="347"/>
      <c r="AO34" s="355"/>
      <c r="AP34" s="347"/>
      <c r="AQ34" s="374"/>
      <c r="AR34" s="176"/>
    </row>
    <row r="35" spans="1:44" ht="18.75">
      <c r="A35" s="1136"/>
      <c r="B35" s="1167"/>
      <c r="C35" s="1168"/>
      <c r="D35" s="1143"/>
      <c r="E35" s="1143"/>
      <c r="F35" s="1143"/>
      <c r="G35" s="1146"/>
      <c r="H35" s="1148"/>
      <c r="I35" s="1061"/>
      <c r="J35" s="902"/>
      <c r="K35" s="177">
        <v>6181</v>
      </c>
      <c r="L35" s="43" t="s">
        <v>32</v>
      </c>
      <c r="M35" s="1169"/>
      <c r="N35" s="10"/>
      <c r="O35" s="12"/>
      <c r="P35" s="12"/>
      <c r="Q35" s="12"/>
      <c r="R35" s="12"/>
      <c r="S35" s="191"/>
      <c r="T35" s="354"/>
      <c r="U35" s="347"/>
      <c r="V35" s="347"/>
      <c r="W35" s="355"/>
      <c r="X35" s="364"/>
      <c r="Y35" s="374"/>
      <c r="Z35" s="721"/>
      <c r="AA35" s="713"/>
      <c r="AB35" s="713"/>
      <c r="AC35" s="715"/>
      <c r="AD35" s="713"/>
      <c r="AE35" s="722"/>
      <c r="AF35" s="721"/>
      <c r="AG35" s="713"/>
      <c r="AH35" s="713"/>
      <c r="AI35" s="715"/>
      <c r="AJ35" s="713"/>
      <c r="AK35" s="722"/>
      <c r="AL35" s="354"/>
      <c r="AM35" s="347"/>
      <c r="AN35" s="347"/>
      <c r="AO35" s="355"/>
      <c r="AP35" s="347"/>
      <c r="AQ35" s="374"/>
      <c r="AR35" s="176"/>
    </row>
    <row r="36" spans="1:44" ht="18.75">
      <c r="A36" s="1136"/>
      <c r="B36" s="1167"/>
      <c r="C36" s="1168"/>
      <c r="D36" s="1143"/>
      <c r="E36" s="1143"/>
      <c r="F36" s="1143"/>
      <c r="G36" s="1146"/>
      <c r="H36" s="1148"/>
      <c r="I36" s="1061"/>
      <c r="J36" s="1170"/>
      <c r="K36" s="181"/>
      <c r="L36" s="358"/>
      <c r="M36" s="193"/>
      <c r="N36" s="10"/>
      <c r="O36" s="12"/>
      <c r="P36" s="12"/>
      <c r="Q36" s="12"/>
      <c r="R36" s="12"/>
      <c r="S36" s="191"/>
      <c r="T36" s="354"/>
      <c r="U36" s="347"/>
      <c r="V36" s="347"/>
      <c r="W36" s="355"/>
      <c r="X36" s="364"/>
      <c r="Y36" s="374"/>
      <c r="Z36" s="721"/>
      <c r="AA36" s="713"/>
      <c r="AB36" s="713"/>
      <c r="AC36" s="715"/>
      <c r="AD36" s="713"/>
      <c r="AE36" s="722"/>
      <c r="AF36" s="721"/>
      <c r="AG36" s="713"/>
      <c r="AH36" s="713"/>
      <c r="AI36" s="715"/>
      <c r="AJ36" s="713"/>
      <c r="AK36" s="722"/>
      <c r="AL36" s="354"/>
      <c r="AM36" s="347"/>
      <c r="AN36" s="347"/>
      <c r="AO36" s="355"/>
      <c r="AP36" s="347"/>
      <c r="AQ36" s="374"/>
      <c r="AR36" s="176"/>
    </row>
    <row r="37" spans="1:44" ht="18.75">
      <c r="A37" s="1125"/>
      <c r="B37" s="1127"/>
      <c r="C37" s="1129"/>
      <c r="D37" s="1144"/>
      <c r="E37" s="1144"/>
      <c r="F37" s="1144"/>
      <c r="G37" s="1147"/>
      <c r="H37" s="1148"/>
      <c r="I37" s="1061"/>
      <c r="J37" s="1171"/>
      <c r="K37" s="177"/>
      <c r="L37" s="43"/>
      <c r="M37" s="193"/>
      <c r="N37" s="10"/>
      <c r="O37" s="12"/>
      <c r="P37" s="12"/>
      <c r="Q37" s="12"/>
      <c r="R37" s="12"/>
      <c r="S37" s="191"/>
      <c r="T37" s="354"/>
      <c r="U37" s="347"/>
      <c r="V37" s="347"/>
      <c r="W37" s="355"/>
      <c r="X37" s="364"/>
      <c r="Y37" s="374"/>
      <c r="Z37" s="721"/>
      <c r="AA37" s="713"/>
      <c r="AB37" s="713"/>
      <c r="AC37" s="715"/>
      <c r="AD37" s="713"/>
      <c r="AE37" s="722"/>
      <c r="AF37" s="721"/>
      <c r="AG37" s="713"/>
      <c r="AH37" s="713"/>
      <c r="AI37" s="715"/>
      <c r="AJ37" s="713"/>
      <c r="AK37" s="722"/>
      <c r="AL37" s="354"/>
      <c r="AM37" s="347"/>
      <c r="AN37" s="347"/>
      <c r="AO37" s="355"/>
      <c r="AP37" s="347"/>
      <c r="AQ37" s="374"/>
      <c r="AR37" s="176"/>
    </row>
    <row r="38" spans="1:44" ht="18.75">
      <c r="A38" s="1100">
        <v>15</v>
      </c>
      <c r="B38" s="1102">
        <v>737469</v>
      </c>
      <c r="C38" s="1104" t="s">
        <v>1209</v>
      </c>
      <c r="D38" s="1106">
        <v>2.5</v>
      </c>
      <c r="E38" s="1106">
        <v>17500</v>
      </c>
      <c r="F38" s="1106">
        <v>2.5</v>
      </c>
      <c r="G38" s="1108">
        <v>17500</v>
      </c>
      <c r="H38" s="570"/>
      <c r="I38" s="569"/>
      <c r="J38" s="365"/>
      <c r="K38" s="177"/>
      <c r="L38" s="178"/>
      <c r="M38" s="366"/>
      <c r="N38" s="1163"/>
      <c r="O38" s="1008"/>
      <c r="P38" s="902"/>
      <c r="Q38" s="355"/>
      <c r="R38" s="358"/>
      <c r="S38" s="1114"/>
      <c r="T38" s="354"/>
      <c r="U38" s="347"/>
      <c r="V38" s="347"/>
      <c r="W38" s="355"/>
      <c r="X38" s="364"/>
      <c r="Y38" s="374"/>
      <c r="Z38" s="1100" t="s">
        <v>60</v>
      </c>
      <c r="AA38" s="1008" t="s">
        <v>2941</v>
      </c>
      <c r="AB38" s="1008" t="s">
        <v>1210</v>
      </c>
      <c r="AC38" s="715">
        <v>2.5</v>
      </c>
      <c r="AD38" s="719" t="s">
        <v>17</v>
      </c>
      <c r="AE38" s="1114">
        <v>156500</v>
      </c>
      <c r="AF38" s="1100"/>
      <c r="AG38" s="1008"/>
      <c r="AH38" s="902"/>
      <c r="AI38" s="715"/>
      <c r="AJ38" s="719"/>
      <c r="AK38" s="1114"/>
      <c r="AL38" s="189"/>
      <c r="AM38" s="12"/>
      <c r="AN38" s="12"/>
      <c r="AO38" s="61"/>
      <c r="AP38" s="12"/>
      <c r="AQ38" s="190"/>
      <c r="AR38" s="176"/>
    </row>
    <row r="39" spans="1:44" ht="18.75">
      <c r="A39" s="1100"/>
      <c r="B39" s="1102"/>
      <c r="C39" s="1104"/>
      <c r="D39" s="1106"/>
      <c r="E39" s="1106"/>
      <c r="F39" s="1106"/>
      <c r="G39" s="1108"/>
      <c r="H39" s="570"/>
      <c r="I39" s="569"/>
      <c r="J39" s="365"/>
      <c r="K39" s="177"/>
      <c r="L39" s="178"/>
      <c r="M39" s="366"/>
      <c r="N39" s="1163"/>
      <c r="O39" s="1008"/>
      <c r="P39" s="902"/>
      <c r="Q39" s="184"/>
      <c r="R39" s="43"/>
      <c r="S39" s="1114"/>
      <c r="T39" s="354"/>
      <c r="U39" s="347"/>
      <c r="V39" s="347"/>
      <c r="W39" s="355"/>
      <c r="X39" s="364"/>
      <c r="Y39" s="374"/>
      <c r="Z39" s="1100"/>
      <c r="AA39" s="1008"/>
      <c r="AB39" s="1008"/>
      <c r="AC39" s="715">
        <v>17500</v>
      </c>
      <c r="AD39" s="43" t="s">
        <v>32</v>
      </c>
      <c r="AE39" s="1114"/>
      <c r="AF39" s="1100"/>
      <c r="AG39" s="1008"/>
      <c r="AH39" s="902"/>
      <c r="AI39" s="184"/>
      <c r="AJ39" s="43"/>
      <c r="AK39" s="1114"/>
      <c r="AL39" s="189"/>
      <c r="AM39" s="12"/>
      <c r="AN39" s="12"/>
      <c r="AO39" s="61"/>
      <c r="AP39" s="12"/>
      <c r="AQ39" s="190"/>
      <c r="AR39" s="176"/>
    </row>
    <row r="40" spans="1:44" ht="18.75">
      <c r="A40" s="1100">
        <v>16</v>
      </c>
      <c r="B40" s="1102">
        <v>739547</v>
      </c>
      <c r="C40" s="1104" t="s">
        <v>1211</v>
      </c>
      <c r="D40" s="1106">
        <v>1</v>
      </c>
      <c r="E40" s="1106">
        <v>8000</v>
      </c>
      <c r="F40" s="1106">
        <v>1</v>
      </c>
      <c r="G40" s="1108">
        <v>8000</v>
      </c>
      <c r="H40" s="570"/>
      <c r="I40" s="569"/>
      <c r="J40" s="365"/>
      <c r="K40" s="177"/>
      <c r="L40" s="178"/>
      <c r="M40" s="366"/>
      <c r="N40" s="1172" t="s">
        <v>60</v>
      </c>
      <c r="O40" s="1008" t="s">
        <v>2584</v>
      </c>
      <c r="P40" s="1020" t="s">
        <v>114</v>
      </c>
      <c r="Q40" s="355">
        <v>1</v>
      </c>
      <c r="R40" s="358" t="s">
        <v>17</v>
      </c>
      <c r="S40" s="1114">
        <v>12450</v>
      </c>
      <c r="T40" s="354"/>
      <c r="U40" s="347"/>
      <c r="V40" s="347"/>
      <c r="W40" s="355"/>
      <c r="X40" s="364"/>
      <c r="Y40" s="374"/>
      <c r="Z40" s="721"/>
      <c r="AA40" s="713"/>
      <c r="AB40" s="713"/>
      <c r="AC40" s="715"/>
      <c r="AD40" s="713"/>
      <c r="AE40" s="722"/>
      <c r="AF40" s="1100"/>
      <c r="AG40" s="1008"/>
      <c r="AH40" s="902"/>
      <c r="AI40" s="715"/>
      <c r="AJ40" s="719"/>
      <c r="AK40" s="1114"/>
      <c r="AL40" s="189"/>
      <c r="AM40" s="12"/>
      <c r="AN40" s="12"/>
      <c r="AO40" s="61"/>
      <c r="AP40" s="12"/>
      <c r="AQ40" s="190"/>
      <c r="AR40" s="176"/>
    </row>
    <row r="41" spans="1:44" ht="18.75">
      <c r="A41" s="1100"/>
      <c r="B41" s="1102"/>
      <c r="C41" s="1104"/>
      <c r="D41" s="1106"/>
      <c r="E41" s="1106"/>
      <c r="F41" s="1106"/>
      <c r="G41" s="1108"/>
      <c r="H41" s="363"/>
      <c r="I41" s="364"/>
      <c r="J41" s="365"/>
      <c r="K41" s="177"/>
      <c r="L41" s="178"/>
      <c r="M41" s="366"/>
      <c r="N41" s="1172"/>
      <c r="O41" s="1008"/>
      <c r="P41" s="1020"/>
      <c r="Q41" s="51">
        <f>Q40*G40/F40</f>
        <v>8000</v>
      </c>
      <c r="R41" s="43" t="s">
        <v>32</v>
      </c>
      <c r="S41" s="1114"/>
      <c r="T41" s="354"/>
      <c r="U41" s="347"/>
      <c r="V41" s="347"/>
      <c r="W41" s="355"/>
      <c r="X41" s="364"/>
      <c r="Y41" s="374"/>
      <c r="Z41" s="721"/>
      <c r="AA41" s="713"/>
      <c r="AB41" s="713"/>
      <c r="AC41" s="715"/>
      <c r="AD41" s="713"/>
      <c r="AE41" s="722"/>
      <c r="AF41" s="1100"/>
      <c r="AG41" s="1008"/>
      <c r="AH41" s="902"/>
      <c r="AI41" s="184"/>
      <c r="AJ41" s="43"/>
      <c r="AK41" s="1114"/>
      <c r="AL41" s="189"/>
      <c r="AM41" s="12"/>
      <c r="AN41" s="12"/>
      <c r="AO41" s="61"/>
      <c r="AP41" s="12"/>
      <c r="AQ41" s="190"/>
      <c r="AR41" s="176"/>
    </row>
    <row r="42" spans="1:44" ht="18.75">
      <c r="A42" s="1124">
        <v>17</v>
      </c>
      <c r="B42" s="1126">
        <v>743052</v>
      </c>
      <c r="C42" s="1128" t="s">
        <v>1212</v>
      </c>
      <c r="D42" s="1106">
        <v>1.5</v>
      </c>
      <c r="E42" s="1106">
        <v>13500</v>
      </c>
      <c r="F42" s="1106">
        <v>1.5</v>
      </c>
      <c r="G42" s="1108">
        <v>13500</v>
      </c>
      <c r="H42" s="363"/>
      <c r="I42" s="364"/>
      <c r="J42" s="365"/>
      <c r="K42" s="177"/>
      <c r="L42" s="178"/>
      <c r="M42" s="366"/>
      <c r="N42" s="1172" t="s">
        <v>60</v>
      </c>
      <c r="O42" s="1008" t="s">
        <v>2730</v>
      </c>
      <c r="P42" s="1020" t="s">
        <v>114</v>
      </c>
      <c r="Q42" s="355">
        <v>1.5</v>
      </c>
      <c r="R42" s="358" t="s">
        <v>17</v>
      </c>
      <c r="S42" s="1114">
        <v>15300</v>
      </c>
      <c r="T42" s="354"/>
      <c r="U42" s="347"/>
      <c r="V42" s="347"/>
      <c r="W42" s="355"/>
      <c r="X42" s="364"/>
      <c r="Y42" s="374"/>
      <c r="Z42" s="721"/>
      <c r="AA42" s="713"/>
      <c r="AB42" s="713"/>
      <c r="AC42" s="715"/>
      <c r="AD42" s="713"/>
      <c r="AE42" s="722"/>
      <c r="AF42" s="1100"/>
      <c r="AG42" s="1008"/>
      <c r="AH42" s="902"/>
      <c r="AI42" s="715"/>
      <c r="AJ42" s="719"/>
      <c r="AK42" s="1114"/>
      <c r="AL42" s="189"/>
      <c r="AM42" s="12"/>
      <c r="AN42" s="12"/>
      <c r="AO42" s="61"/>
      <c r="AP42" s="12"/>
      <c r="AQ42" s="190"/>
      <c r="AR42" s="176"/>
    </row>
    <row r="43" spans="1:44" ht="18.75">
      <c r="A43" s="1136"/>
      <c r="B43" s="1167"/>
      <c r="C43" s="1168"/>
      <c r="D43" s="1106"/>
      <c r="E43" s="1106"/>
      <c r="F43" s="1106"/>
      <c r="G43" s="1108"/>
      <c r="H43" s="363"/>
      <c r="I43" s="364"/>
      <c r="J43" s="365"/>
      <c r="K43" s="177"/>
      <c r="L43" s="178"/>
      <c r="M43" s="366"/>
      <c r="N43" s="1172"/>
      <c r="O43" s="1008"/>
      <c r="P43" s="1020"/>
      <c r="Q43" s="51">
        <f>Q42*G42/F42</f>
        <v>13500</v>
      </c>
      <c r="R43" s="43" t="s">
        <v>32</v>
      </c>
      <c r="S43" s="1114"/>
      <c r="T43" s="354"/>
      <c r="U43" s="347"/>
      <c r="V43" s="347"/>
      <c r="W43" s="355"/>
      <c r="X43" s="364"/>
      <c r="Y43" s="374"/>
      <c r="Z43" s="721"/>
      <c r="AA43" s="713"/>
      <c r="AB43" s="713"/>
      <c r="AC43" s="715"/>
      <c r="AD43" s="713"/>
      <c r="AE43" s="722"/>
      <c r="AF43" s="1100"/>
      <c r="AG43" s="1008"/>
      <c r="AH43" s="902"/>
      <c r="AI43" s="184"/>
      <c r="AJ43" s="43"/>
      <c r="AK43" s="1114"/>
      <c r="AL43" s="189"/>
      <c r="AM43" s="12"/>
      <c r="AN43" s="12"/>
      <c r="AO43" s="61"/>
      <c r="AP43" s="12"/>
      <c r="AQ43" s="190"/>
      <c r="AR43" s="176"/>
    </row>
    <row r="44" spans="1:44" ht="56.25">
      <c r="A44" s="1136"/>
      <c r="B44" s="1167"/>
      <c r="C44" s="1168"/>
      <c r="D44" s="371"/>
      <c r="E44" s="371"/>
      <c r="F44" s="371"/>
      <c r="G44" s="368"/>
      <c r="H44" s="363"/>
      <c r="I44" s="364"/>
      <c r="J44" s="365"/>
      <c r="K44" s="177"/>
      <c r="L44" s="178"/>
      <c r="M44" s="366"/>
      <c r="N44" s="688" t="s">
        <v>2955</v>
      </c>
      <c r="O44" s="569" t="s">
        <v>2955</v>
      </c>
      <c r="P44" s="180" t="s">
        <v>120</v>
      </c>
      <c r="Q44" s="181">
        <v>2</v>
      </c>
      <c r="R44" s="43" t="s">
        <v>449</v>
      </c>
      <c r="S44" s="182">
        <v>50</v>
      </c>
      <c r="T44" s="354"/>
      <c r="U44" s="347"/>
      <c r="V44" s="347"/>
      <c r="W44" s="355"/>
      <c r="X44" s="364"/>
      <c r="Y44" s="374"/>
      <c r="Z44" s="721"/>
      <c r="AA44" s="713"/>
      <c r="AB44" s="713"/>
      <c r="AC44" s="715"/>
      <c r="AD44" s="713"/>
      <c r="AE44" s="722"/>
      <c r="AF44" s="721"/>
      <c r="AG44" s="713"/>
      <c r="AH44" s="712"/>
      <c r="AI44" s="184"/>
      <c r="AJ44" s="43"/>
      <c r="AK44" s="722"/>
      <c r="AL44" s="189"/>
      <c r="AM44" s="12"/>
      <c r="AN44" s="12"/>
      <c r="AO44" s="61"/>
      <c r="AP44" s="12"/>
      <c r="AQ44" s="190"/>
      <c r="AR44" s="176"/>
    </row>
    <row r="45" spans="1:44" ht="56.25">
      <c r="A45" s="1125"/>
      <c r="B45" s="1127"/>
      <c r="C45" s="1129"/>
      <c r="D45" s="371"/>
      <c r="E45" s="371"/>
      <c r="F45" s="371"/>
      <c r="G45" s="368"/>
      <c r="H45" s="363"/>
      <c r="I45" s="364"/>
      <c r="J45" s="365"/>
      <c r="K45" s="177"/>
      <c r="L45" s="178"/>
      <c r="M45" s="366"/>
      <c r="N45" s="688" t="s">
        <v>2955</v>
      </c>
      <c r="O45" s="569" t="s">
        <v>2955</v>
      </c>
      <c r="P45" s="180" t="s">
        <v>93</v>
      </c>
      <c r="Q45" s="68">
        <v>4</v>
      </c>
      <c r="R45" s="43" t="s">
        <v>449</v>
      </c>
      <c r="S45" s="182">
        <v>50</v>
      </c>
      <c r="T45" s="354"/>
      <c r="U45" s="347"/>
      <c r="V45" s="347"/>
      <c r="W45" s="355"/>
      <c r="X45" s="364"/>
      <c r="Y45" s="374"/>
      <c r="Z45" s="721"/>
      <c r="AA45" s="713"/>
      <c r="AB45" s="713"/>
      <c r="AC45" s="715"/>
      <c r="AD45" s="713"/>
      <c r="AE45" s="722"/>
      <c r="AF45" s="721"/>
      <c r="AG45" s="713"/>
      <c r="AH45" s="712"/>
      <c r="AI45" s="184"/>
      <c r="AJ45" s="43"/>
      <c r="AK45" s="722"/>
      <c r="AL45" s="189"/>
      <c r="AM45" s="12"/>
      <c r="AN45" s="12"/>
      <c r="AO45" s="61"/>
      <c r="AP45" s="12"/>
      <c r="AQ45" s="190"/>
      <c r="AR45" s="176"/>
    </row>
    <row r="46" spans="1:44" ht="56.25">
      <c r="A46" s="1100">
        <v>18</v>
      </c>
      <c r="B46" s="1102">
        <v>737847</v>
      </c>
      <c r="C46" s="1104" t="s">
        <v>1214</v>
      </c>
      <c r="D46" s="1106">
        <v>0.4</v>
      </c>
      <c r="E46" s="1106">
        <v>5727</v>
      </c>
      <c r="F46" s="1106">
        <v>0.4</v>
      </c>
      <c r="G46" s="1108">
        <v>5727</v>
      </c>
      <c r="H46" s="363"/>
      <c r="I46" s="364"/>
      <c r="J46" s="365"/>
      <c r="K46" s="177"/>
      <c r="L46" s="178"/>
      <c r="M46" s="366"/>
      <c r="N46" s="1173"/>
      <c r="O46" s="1174"/>
      <c r="P46" s="1175"/>
      <c r="Q46" s="194"/>
      <c r="R46" s="195"/>
      <c r="S46" s="1114"/>
      <c r="T46" s="354"/>
      <c r="U46" s="347"/>
      <c r="V46" s="347"/>
      <c r="W46" s="355"/>
      <c r="X46" s="364"/>
      <c r="Y46" s="374"/>
      <c r="Z46" s="721"/>
      <c r="AA46" s="713"/>
      <c r="AB46" s="713"/>
      <c r="AC46" s="715"/>
      <c r="AD46" s="713"/>
      <c r="AE46" s="722"/>
      <c r="AF46" s="1100"/>
      <c r="AG46" s="1008"/>
      <c r="AH46" s="180" t="s">
        <v>93</v>
      </c>
      <c r="AI46" s="68">
        <v>4</v>
      </c>
      <c r="AJ46" s="43" t="s">
        <v>449</v>
      </c>
      <c r="AK46" s="182">
        <v>50</v>
      </c>
      <c r="AL46" s="189"/>
      <c r="AM46" s="12"/>
      <c r="AN46" s="12"/>
      <c r="AO46" s="61"/>
      <c r="AP46" s="12"/>
      <c r="AQ46" s="190"/>
      <c r="AR46" s="176"/>
    </row>
    <row r="47" spans="1:44" ht="18.75">
      <c r="A47" s="1100"/>
      <c r="B47" s="1102"/>
      <c r="C47" s="1104"/>
      <c r="D47" s="1106"/>
      <c r="E47" s="1106"/>
      <c r="F47" s="1106"/>
      <c r="G47" s="1108"/>
      <c r="H47" s="363"/>
      <c r="I47" s="364"/>
      <c r="J47" s="365"/>
      <c r="K47" s="177"/>
      <c r="L47" s="178"/>
      <c r="M47" s="366"/>
      <c r="N47" s="1173"/>
      <c r="O47" s="1174"/>
      <c r="P47" s="1175"/>
      <c r="Q47" s="196"/>
      <c r="R47" s="195"/>
      <c r="S47" s="1114"/>
      <c r="T47" s="354"/>
      <c r="U47" s="347"/>
      <c r="V47" s="347"/>
      <c r="W47" s="355"/>
      <c r="X47" s="364"/>
      <c r="Y47" s="374"/>
      <c r="Z47" s="721"/>
      <c r="AA47" s="713"/>
      <c r="AB47" s="713"/>
      <c r="AC47" s="715"/>
      <c r="AD47" s="713"/>
      <c r="AE47" s="722"/>
      <c r="AF47" s="1100"/>
      <c r="AG47" s="1008"/>
      <c r="AH47" s="23"/>
      <c r="AI47" s="184"/>
      <c r="AJ47" s="43"/>
      <c r="AK47" s="183"/>
      <c r="AL47" s="189"/>
      <c r="AM47" s="12"/>
      <c r="AN47" s="12"/>
      <c r="AO47" s="61"/>
      <c r="AP47" s="12"/>
      <c r="AQ47" s="190"/>
      <c r="AR47" s="176"/>
    </row>
    <row r="48" spans="1:44" ht="56.25">
      <c r="A48" s="1100">
        <v>19</v>
      </c>
      <c r="B48" s="1102">
        <v>739560</v>
      </c>
      <c r="C48" s="1104" t="s">
        <v>1215</v>
      </c>
      <c r="D48" s="1106">
        <v>1</v>
      </c>
      <c r="E48" s="1106">
        <v>7000</v>
      </c>
      <c r="F48" s="1106">
        <v>1</v>
      </c>
      <c r="G48" s="1108">
        <v>7000</v>
      </c>
      <c r="H48" s="363"/>
      <c r="I48" s="364"/>
      <c r="J48" s="365"/>
      <c r="K48" s="177"/>
      <c r="L48" s="178"/>
      <c r="M48" s="366"/>
      <c r="N48" s="689"/>
      <c r="O48" s="569"/>
      <c r="P48" s="364"/>
      <c r="Q48" s="181"/>
      <c r="R48" s="364"/>
      <c r="S48" s="374"/>
      <c r="T48" s="354"/>
      <c r="U48" s="347"/>
      <c r="V48" s="347"/>
      <c r="W48" s="355"/>
      <c r="X48" s="364"/>
      <c r="Y48" s="374"/>
      <c r="Z48" s="721"/>
      <c r="AA48" s="713"/>
      <c r="AB48" s="713"/>
      <c r="AC48" s="715"/>
      <c r="AD48" s="713"/>
      <c r="AE48" s="722"/>
      <c r="AF48" s="721"/>
      <c r="AG48" s="713"/>
      <c r="AH48" s="180" t="s">
        <v>93</v>
      </c>
      <c r="AI48" s="68">
        <v>4</v>
      </c>
      <c r="AJ48" s="43" t="s">
        <v>449</v>
      </c>
      <c r="AK48" s="182">
        <v>50</v>
      </c>
      <c r="AL48" s="1100"/>
      <c r="AM48" s="1008"/>
      <c r="AN48" s="902"/>
      <c r="AO48" s="355"/>
      <c r="AP48" s="358"/>
      <c r="AQ48" s="1114"/>
      <c r="AR48" s="176"/>
    </row>
    <row r="49" spans="1:44" ht="18.75">
      <c r="A49" s="1100"/>
      <c r="B49" s="1102"/>
      <c r="C49" s="1104"/>
      <c r="D49" s="1106"/>
      <c r="E49" s="1106"/>
      <c r="F49" s="1106"/>
      <c r="G49" s="1108"/>
      <c r="H49" s="363"/>
      <c r="I49" s="364"/>
      <c r="J49" s="365"/>
      <c r="K49" s="177"/>
      <c r="L49" s="178"/>
      <c r="M49" s="366"/>
      <c r="N49" s="689"/>
      <c r="O49" s="569"/>
      <c r="P49" s="364"/>
      <c r="Q49" s="181"/>
      <c r="R49" s="364"/>
      <c r="S49" s="374"/>
      <c r="T49" s="354"/>
      <c r="U49" s="347"/>
      <c r="V49" s="347"/>
      <c r="W49" s="355"/>
      <c r="X49" s="364"/>
      <c r="Y49" s="374"/>
      <c r="Z49" s="721"/>
      <c r="AA49" s="713"/>
      <c r="AB49" s="713"/>
      <c r="AC49" s="715"/>
      <c r="AD49" s="713"/>
      <c r="AE49" s="722"/>
      <c r="AF49" s="721"/>
      <c r="AG49" s="713"/>
      <c r="AH49" s="713"/>
      <c r="AI49" s="715"/>
      <c r="AJ49" s="713"/>
      <c r="AK49" s="722"/>
      <c r="AL49" s="1100"/>
      <c r="AM49" s="1008"/>
      <c r="AN49" s="902"/>
      <c r="AO49" s="348"/>
      <c r="AP49" s="43"/>
      <c r="AQ49" s="1114"/>
      <c r="AR49" s="176"/>
    </row>
    <row r="50" spans="1:44" ht="30" customHeight="1">
      <c r="A50" s="1100">
        <v>20</v>
      </c>
      <c r="B50" s="1102">
        <v>742515</v>
      </c>
      <c r="C50" s="1104" t="s">
        <v>1216</v>
      </c>
      <c r="D50" s="1106">
        <v>1.5</v>
      </c>
      <c r="E50" s="1106">
        <v>13500</v>
      </c>
      <c r="F50" s="1106">
        <v>1.5</v>
      </c>
      <c r="G50" s="1108">
        <v>13500</v>
      </c>
      <c r="H50" s="363"/>
      <c r="I50" s="364"/>
      <c r="J50" s="365"/>
      <c r="K50" s="177"/>
      <c r="L50" s="178"/>
      <c r="M50" s="366"/>
      <c r="N50" s="1176" t="s">
        <v>60</v>
      </c>
      <c r="O50" s="1110" t="s">
        <v>2730</v>
      </c>
      <c r="P50" s="1020" t="s">
        <v>114</v>
      </c>
      <c r="Q50" s="355">
        <v>1.3</v>
      </c>
      <c r="R50" s="358" t="s">
        <v>17</v>
      </c>
      <c r="S50" s="1114">
        <v>13450</v>
      </c>
      <c r="T50" s="354"/>
      <c r="U50" s="347"/>
      <c r="V50" s="347"/>
      <c r="W50" s="355"/>
      <c r="X50" s="364"/>
      <c r="Y50" s="374"/>
      <c r="Z50" s="721"/>
      <c r="AA50" s="713"/>
      <c r="AB50" s="713"/>
      <c r="AC50" s="715"/>
      <c r="AD50" s="713"/>
      <c r="AE50" s="722"/>
      <c r="AF50" s="721"/>
      <c r="AG50" s="713"/>
      <c r="AH50" s="713"/>
      <c r="AI50" s="715"/>
      <c r="AJ50" s="713"/>
      <c r="AK50" s="722"/>
      <c r="AL50" s="1100"/>
      <c r="AM50" s="1008"/>
      <c r="AN50" s="902"/>
      <c r="AO50" s="355"/>
      <c r="AP50" s="358"/>
      <c r="AQ50" s="1114"/>
      <c r="AR50" s="176"/>
    </row>
    <row r="51" spans="1:44" ht="18.75">
      <c r="A51" s="1100"/>
      <c r="B51" s="1102"/>
      <c r="C51" s="1104"/>
      <c r="D51" s="1106"/>
      <c r="E51" s="1106"/>
      <c r="F51" s="1106"/>
      <c r="G51" s="1108"/>
      <c r="H51" s="363"/>
      <c r="I51" s="364"/>
      <c r="J51" s="365"/>
      <c r="K51" s="177"/>
      <c r="L51" s="178"/>
      <c r="M51" s="366"/>
      <c r="N51" s="1177"/>
      <c r="O51" s="1110"/>
      <c r="P51" s="1020"/>
      <c r="Q51" s="51">
        <f>Q50*G50/F50</f>
        <v>11700</v>
      </c>
      <c r="R51" s="43" t="s">
        <v>32</v>
      </c>
      <c r="S51" s="1114"/>
      <c r="T51" s="354"/>
      <c r="U51" s="347"/>
      <c r="V51" s="347"/>
      <c r="W51" s="355"/>
      <c r="X51" s="364"/>
      <c r="Y51" s="374"/>
      <c r="Z51" s="721"/>
      <c r="AA51" s="713"/>
      <c r="AB51" s="713"/>
      <c r="AC51" s="715"/>
      <c r="AD51" s="713"/>
      <c r="AE51" s="722"/>
      <c r="AF51" s="721"/>
      <c r="AG51" s="713"/>
      <c r="AH51" s="713"/>
      <c r="AI51" s="715"/>
      <c r="AJ51" s="713"/>
      <c r="AK51" s="722"/>
      <c r="AL51" s="1100"/>
      <c r="AM51" s="1008"/>
      <c r="AN51" s="902"/>
      <c r="AO51" s="348"/>
      <c r="AP51" s="43"/>
      <c r="AQ51" s="1114"/>
      <c r="AR51" s="176"/>
    </row>
    <row r="52" spans="1:44" ht="56.25">
      <c r="A52" s="1100">
        <v>21</v>
      </c>
      <c r="B52" s="1102">
        <v>738885</v>
      </c>
      <c r="C52" s="1104" t="s">
        <v>1217</v>
      </c>
      <c r="D52" s="1106">
        <v>1.9</v>
      </c>
      <c r="E52" s="1106">
        <v>13300</v>
      </c>
      <c r="F52" s="1106">
        <v>1.9</v>
      </c>
      <c r="G52" s="1108">
        <v>13300</v>
      </c>
      <c r="H52" s="363"/>
      <c r="I52" s="364"/>
      <c r="J52" s="365"/>
      <c r="K52" s="177"/>
      <c r="L52" s="178"/>
      <c r="M52" s="366"/>
      <c r="N52" s="689"/>
      <c r="O52" s="569"/>
      <c r="P52" s="364"/>
      <c r="Q52" s="181"/>
      <c r="R52" s="364"/>
      <c r="S52" s="374"/>
      <c r="T52" s="354"/>
      <c r="U52" s="347"/>
      <c r="V52" s="347"/>
      <c r="W52" s="355"/>
      <c r="X52" s="364"/>
      <c r="Y52" s="374"/>
      <c r="Z52" s="721" t="s">
        <v>60</v>
      </c>
      <c r="AA52" s="713" t="s">
        <v>2613</v>
      </c>
      <c r="AB52" s="180" t="s">
        <v>120</v>
      </c>
      <c r="AC52" s="181">
        <v>2</v>
      </c>
      <c r="AD52" s="43" t="s">
        <v>449</v>
      </c>
      <c r="AE52" s="182">
        <v>50</v>
      </c>
      <c r="AF52" s="721"/>
      <c r="AG52" s="713"/>
      <c r="AH52" s="713"/>
      <c r="AI52" s="715"/>
      <c r="AJ52" s="713"/>
      <c r="AK52" s="722"/>
      <c r="AL52" s="1100"/>
      <c r="AM52" s="1008"/>
      <c r="AN52" s="902"/>
      <c r="AO52" s="355"/>
      <c r="AP52" s="358"/>
      <c r="AQ52" s="1114"/>
      <c r="AR52" s="176"/>
    </row>
    <row r="53" spans="1:44" ht="18.75">
      <c r="A53" s="1100"/>
      <c r="B53" s="1102"/>
      <c r="C53" s="1104"/>
      <c r="D53" s="1106"/>
      <c r="E53" s="1106"/>
      <c r="F53" s="1106"/>
      <c r="G53" s="1108"/>
      <c r="H53" s="363"/>
      <c r="I53" s="364"/>
      <c r="J53" s="365"/>
      <c r="K53" s="177"/>
      <c r="L53" s="178"/>
      <c r="M53" s="366"/>
      <c r="N53" s="689"/>
      <c r="O53" s="569"/>
      <c r="P53" s="364"/>
      <c r="Q53" s="181"/>
      <c r="R53" s="364"/>
      <c r="S53" s="374"/>
      <c r="T53" s="354"/>
      <c r="U53" s="347"/>
      <c r="V53" s="347"/>
      <c r="W53" s="355"/>
      <c r="X53" s="364"/>
      <c r="Y53" s="374"/>
      <c r="Z53" s="721"/>
      <c r="AA53" s="713"/>
      <c r="AB53" s="23"/>
      <c r="AC53" s="184"/>
      <c r="AD53" s="43"/>
      <c r="AE53" s="183"/>
      <c r="AF53" s="721"/>
      <c r="AG53" s="713"/>
      <c r="AH53" s="713"/>
      <c r="AI53" s="715"/>
      <c r="AJ53" s="713"/>
      <c r="AK53" s="722"/>
      <c r="AL53" s="1100"/>
      <c r="AM53" s="1008"/>
      <c r="AN53" s="902"/>
      <c r="AO53" s="348"/>
      <c r="AP53" s="43"/>
      <c r="AQ53" s="1114"/>
      <c r="AR53" s="176"/>
    </row>
    <row r="54" spans="1:44" ht="18.75">
      <c r="A54" s="1124">
        <v>22</v>
      </c>
      <c r="B54" s="1126">
        <v>735636</v>
      </c>
      <c r="C54" s="1128" t="s">
        <v>1218</v>
      </c>
      <c r="D54" s="1130">
        <v>1.6</v>
      </c>
      <c r="E54" s="1130">
        <v>14400</v>
      </c>
      <c r="F54" s="1130">
        <v>1.6</v>
      </c>
      <c r="G54" s="1130">
        <v>14400</v>
      </c>
      <c r="H54" s="363"/>
      <c r="I54" s="364"/>
      <c r="J54" s="365"/>
      <c r="K54" s="177"/>
      <c r="L54" s="178"/>
      <c r="M54" s="366"/>
      <c r="N54" s="1176" t="s">
        <v>60</v>
      </c>
      <c r="O54" s="1110" t="s">
        <v>2956</v>
      </c>
      <c r="P54" s="1020" t="s">
        <v>114</v>
      </c>
      <c r="Q54" s="355">
        <v>1.6</v>
      </c>
      <c r="R54" s="358" t="s">
        <v>17</v>
      </c>
      <c r="S54" s="1114">
        <v>18560</v>
      </c>
      <c r="T54" s="354"/>
      <c r="U54" s="347"/>
      <c r="V54" s="347"/>
      <c r="W54" s="355"/>
      <c r="X54" s="364"/>
      <c r="Y54" s="374"/>
      <c r="Z54" s="19"/>
      <c r="AA54" s="19"/>
      <c r="AB54" s="19"/>
      <c r="AC54" s="19"/>
      <c r="AD54" s="19"/>
      <c r="AE54" s="19"/>
      <c r="AF54" s="721"/>
      <c r="AG54" s="713"/>
      <c r="AH54" s="713"/>
      <c r="AI54" s="715"/>
      <c r="AJ54" s="713"/>
      <c r="AK54" s="722"/>
      <c r="AL54" s="354"/>
      <c r="AM54" s="347"/>
      <c r="AN54" s="347"/>
      <c r="AO54" s="355"/>
      <c r="AP54" s="347"/>
      <c r="AQ54" s="374"/>
      <c r="AR54" s="176"/>
    </row>
    <row r="55" spans="1:44" ht="18.75">
      <c r="A55" s="1136"/>
      <c r="B55" s="1167"/>
      <c r="C55" s="1168"/>
      <c r="D55" s="1143"/>
      <c r="E55" s="1143"/>
      <c r="F55" s="1143"/>
      <c r="G55" s="1143"/>
      <c r="H55" s="363"/>
      <c r="I55" s="364"/>
      <c r="J55" s="365"/>
      <c r="K55" s="177"/>
      <c r="L55" s="178"/>
      <c r="M55" s="366"/>
      <c r="N55" s="1177"/>
      <c r="O55" s="1110"/>
      <c r="P55" s="1020"/>
      <c r="Q55" s="51">
        <f>Q54*G54/F54</f>
        <v>14400</v>
      </c>
      <c r="R55" s="43" t="s">
        <v>32</v>
      </c>
      <c r="S55" s="1114"/>
      <c r="T55" s="354"/>
      <c r="U55" s="347"/>
      <c r="V55" s="347"/>
      <c r="W55" s="355"/>
      <c r="X55" s="364"/>
      <c r="Y55" s="374"/>
      <c r="Z55" s="19"/>
      <c r="AA55" s="19"/>
      <c r="AB55" s="19"/>
      <c r="AC55" s="19"/>
      <c r="AD55" s="19"/>
      <c r="AE55" s="19"/>
      <c r="AF55" s="721"/>
      <c r="AG55" s="713"/>
      <c r="AH55" s="713"/>
      <c r="AI55" s="715"/>
      <c r="AJ55" s="713"/>
      <c r="AK55" s="722"/>
      <c r="AL55" s="354"/>
      <c r="AM55" s="347"/>
      <c r="AN55" s="347"/>
      <c r="AO55" s="355"/>
      <c r="AP55" s="347"/>
      <c r="AQ55" s="374"/>
      <c r="AR55" s="176"/>
    </row>
    <row r="56" spans="1:44" ht="56.25">
      <c r="A56" s="1136"/>
      <c r="B56" s="1167"/>
      <c r="C56" s="1168"/>
      <c r="D56" s="1178"/>
      <c r="E56" s="1178"/>
      <c r="F56" s="1178"/>
      <c r="G56" s="1178"/>
      <c r="H56" s="363"/>
      <c r="I56" s="364"/>
      <c r="J56" s="365"/>
      <c r="K56" s="177"/>
      <c r="L56" s="178"/>
      <c r="M56" s="366"/>
      <c r="N56" s="688" t="s">
        <v>2957</v>
      </c>
      <c r="O56" s="569" t="s">
        <v>2957</v>
      </c>
      <c r="P56" s="180" t="s">
        <v>120</v>
      </c>
      <c r="Q56" s="181">
        <v>2</v>
      </c>
      <c r="R56" s="43" t="s">
        <v>449</v>
      </c>
      <c r="S56" s="182">
        <v>50</v>
      </c>
      <c r="T56" s="354"/>
      <c r="U56" s="347"/>
      <c r="V56" s="347"/>
      <c r="W56" s="355"/>
      <c r="X56" s="364"/>
      <c r="Y56" s="374"/>
      <c r="Z56" s="721"/>
      <c r="AA56" s="713"/>
      <c r="AB56" s="712"/>
      <c r="AC56" s="184"/>
      <c r="AD56" s="43"/>
      <c r="AE56" s="722"/>
      <c r="AF56" s="721"/>
      <c r="AG56" s="713"/>
      <c r="AH56" s="713"/>
      <c r="AI56" s="715"/>
      <c r="AJ56" s="713"/>
      <c r="AK56" s="722"/>
      <c r="AL56" s="354"/>
      <c r="AM56" s="347"/>
      <c r="AN56" s="347"/>
      <c r="AO56" s="355"/>
      <c r="AP56" s="347"/>
      <c r="AQ56" s="374"/>
      <c r="AR56" s="176"/>
    </row>
    <row r="57" spans="1:44" ht="56.25">
      <c r="A57" s="1125"/>
      <c r="B57" s="1127"/>
      <c r="C57" s="1129"/>
      <c r="D57" s="1131"/>
      <c r="E57" s="1131"/>
      <c r="F57" s="1131"/>
      <c r="G57" s="1131"/>
      <c r="H57" s="363"/>
      <c r="I57" s="364"/>
      <c r="J57" s="365"/>
      <c r="K57" s="177"/>
      <c r="L57" s="178"/>
      <c r="M57" s="366"/>
      <c r="N57" s="688" t="s">
        <v>2957</v>
      </c>
      <c r="O57" s="569" t="s">
        <v>2957</v>
      </c>
      <c r="P57" s="180" t="s">
        <v>93</v>
      </c>
      <c r="Q57" s="68">
        <v>4</v>
      </c>
      <c r="R57" s="43" t="s">
        <v>449</v>
      </c>
      <c r="S57" s="182">
        <v>50</v>
      </c>
      <c r="T57" s="354"/>
      <c r="U57" s="347"/>
      <c r="V57" s="347"/>
      <c r="W57" s="355"/>
      <c r="X57" s="364"/>
      <c r="Y57" s="374"/>
      <c r="Z57" s="721"/>
      <c r="AA57" s="713"/>
      <c r="AB57" s="712"/>
      <c r="AC57" s="184"/>
      <c r="AD57" s="43"/>
      <c r="AE57" s="722"/>
      <c r="AF57" s="721"/>
      <c r="AG57" s="713"/>
      <c r="AH57" s="713"/>
      <c r="AI57" s="715"/>
      <c r="AJ57" s="713"/>
      <c r="AK57" s="722"/>
      <c r="AL57" s="354"/>
      <c r="AM57" s="347"/>
      <c r="AN57" s="347"/>
      <c r="AO57" s="355"/>
      <c r="AP57" s="347"/>
      <c r="AQ57" s="374"/>
      <c r="AR57" s="176"/>
    </row>
    <row r="58" spans="1:44" ht="18.75">
      <c r="A58" s="1100">
        <v>23</v>
      </c>
      <c r="B58" s="1102">
        <v>736754</v>
      </c>
      <c r="C58" s="1104" t="s">
        <v>1219</v>
      </c>
      <c r="D58" s="1106">
        <v>1.6</v>
      </c>
      <c r="E58" s="1106">
        <v>14400</v>
      </c>
      <c r="F58" s="1106">
        <v>1.6</v>
      </c>
      <c r="G58" s="1106">
        <v>14400</v>
      </c>
      <c r="H58" s="363"/>
      <c r="I58" s="364"/>
      <c r="J58" s="365"/>
      <c r="K58" s="177"/>
      <c r="L58" s="178"/>
      <c r="M58" s="366"/>
      <c r="N58" s="1176" t="s">
        <v>60</v>
      </c>
      <c r="O58" s="1110" t="s">
        <v>2956</v>
      </c>
      <c r="P58" s="1020" t="s">
        <v>114</v>
      </c>
      <c r="Q58" s="355">
        <v>1.6</v>
      </c>
      <c r="R58" s="358" t="s">
        <v>17</v>
      </c>
      <c r="S58" s="1114">
        <v>18560</v>
      </c>
      <c r="T58" s="354"/>
      <c r="U58" s="347"/>
      <c r="V58" s="347"/>
      <c r="W58" s="355"/>
      <c r="X58" s="364"/>
      <c r="Y58" s="374"/>
      <c r="Z58" s="19"/>
      <c r="AA58" s="19"/>
      <c r="AB58" s="19"/>
      <c r="AC58" s="19"/>
      <c r="AD58" s="19"/>
      <c r="AE58" s="19"/>
      <c r="AF58" s="721"/>
      <c r="AG58" s="713"/>
      <c r="AH58" s="713"/>
      <c r="AI58" s="715"/>
      <c r="AJ58" s="713"/>
      <c r="AK58" s="722"/>
      <c r="AL58" s="354"/>
      <c r="AM58" s="347"/>
      <c r="AN58" s="347"/>
      <c r="AO58" s="355"/>
      <c r="AP58" s="347"/>
      <c r="AQ58" s="374"/>
      <c r="AR58" s="176"/>
    </row>
    <row r="59" spans="1:44" ht="18.75">
      <c r="A59" s="1100"/>
      <c r="B59" s="1102"/>
      <c r="C59" s="1104"/>
      <c r="D59" s="1106"/>
      <c r="E59" s="1106"/>
      <c r="F59" s="1106"/>
      <c r="G59" s="1106"/>
      <c r="H59" s="363"/>
      <c r="I59" s="364"/>
      <c r="J59" s="365"/>
      <c r="K59" s="177"/>
      <c r="L59" s="178"/>
      <c r="M59" s="366"/>
      <c r="N59" s="1177"/>
      <c r="O59" s="1110"/>
      <c r="P59" s="1020"/>
      <c r="Q59" s="51">
        <f>Q58*G58/F58</f>
        <v>14400</v>
      </c>
      <c r="R59" s="43" t="s">
        <v>32</v>
      </c>
      <c r="S59" s="1114"/>
      <c r="T59" s="354"/>
      <c r="U59" s="347"/>
      <c r="V59" s="347"/>
      <c r="W59" s="355"/>
      <c r="X59" s="364"/>
      <c r="Y59" s="374"/>
      <c r="Z59" s="19"/>
      <c r="AA59" s="19"/>
      <c r="AB59" s="19"/>
      <c r="AC59" s="19"/>
      <c r="AD59" s="19"/>
      <c r="AE59" s="19"/>
      <c r="AF59" s="721"/>
      <c r="AG59" s="713"/>
      <c r="AH59" s="713"/>
      <c r="AI59" s="715"/>
      <c r="AJ59" s="713"/>
      <c r="AK59" s="722"/>
      <c r="AL59" s="354"/>
      <c r="AM59" s="347"/>
      <c r="AN59" s="347"/>
      <c r="AO59" s="355"/>
      <c r="AP59" s="347"/>
      <c r="AQ59" s="374"/>
      <c r="AR59" s="176"/>
    </row>
    <row r="60" spans="1:44" ht="18.75">
      <c r="A60" s="1100">
        <v>24</v>
      </c>
      <c r="B60" s="1102">
        <v>737402</v>
      </c>
      <c r="C60" s="1104" t="s">
        <v>1220</v>
      </c>
      <c r="D60" s="1106">
        <v>3.1</v>
      </c>
      <c r="E60" s="1106">
        <v>46500</v>
      </c>
      <c r="F60" s="1106">
        <v>3.1</v>
      </c>
      <c r="G60" s="1108">
        <v>46500</v>
      </c>
      <c r="H60" s="363"/>
      <c r="I60" s="364"/>
      <c r="J60" s="365"/>
      <c r="K60" s="177"/>
      <c r="L60" s="178"/>
      <c r="M60" s="366"/>
      <c r="N60" s="1176" t="s">
        <v>60</v>
      </c>
      <c r="O60" s="1110" t="s">
        <v>2616</v>
      </c>
      <c r="P60" s="1020" t="s">
        <v>114</v>
      </c>
      <c r="Q60" s="355">
        <v>2.6</v>
      </c>
      <c r="R60" s="358" t="s">
        <v>17</v>
      </c>
      <c r="S60" s="1114">
        <v>36860</v>
      </c>
      <c r="T60" s="1100"/>
      <c r="U60" s="1008"/>
      <c r="V60" s="1008"/>
      <c r="W60" s="355"/>
      <c r="X60" s="358"/>
      <c r="Y60" s="1114"/>
      <c r="Z60" s="721"/>
      <c r="AA60" s="713"/>
      <c r="AB60" s="713"/>
      <c r="AC60" s="715"/>
      <c r="AD60" s="713"/>
      <c r="AE60" s="722"/>
      <c r="AF60" s="721"/>
      <c r="AG60" s="713"/>
      <c r="AH60" s="713"/>
      <c r="AI60" s="715"/>
      <c r="AJ60" s="713"/>
      <c r="AK60" s="722"/>
      <c r="AL60" s="354"/>
      <c r="AM60" s="347"/>
      <c r="AN60" s="347"/>
      <c r="AO60" s="355"/>
      <c r="AP60" s="347"/>
      <c r="AQ60" s="374"/>
      <c r="AR60" s="176"/>
    </row>
    <row r="61" spans="1:44" ht="33.75" customHeight="1">
      <c r="A61" s="1100"/>
      <c r="B61" s="1102"/>
      <c r="C61" s="1104"/>
      <c r="D61" s="1106"/>
      <c r="E61" s="1106"/>
      <c r="F61" s="1106"/>
      <c r="G61" s="1108"/>
      <c r="H61" s="363"/>
      <c r="I61" s="364"/>
      <c r="J61" s="365"/>
      <c r="K61" s="177"/>
      <c r="L61" s="178"/>
      <c r="M61" s="366"/>
      <c r="N61" s="1177"/>
      <c r="O61" s="1110"/>
      <c r="P61" s="1020"/>
      <c r="Q61" s="51">
        <f>Q60*G60/F60</f>
        <v>39000</v>
      </c>
      <c r="R61" s="43" t="s">
        <v>32</v>
      </c>
      <c r="S61" s="1114"/>
      <c r="T61" s="1100"/>
      <c r="U61" s="1008"/>
      <c r="V61" s="1008"/>
      <c r="W61" s="364"/>
      <c r="X61" s="43"/>
      <c r="Y61" s="1114"/>
      <c r="Z61" s="721"/>
      <c r="AA61" s="713"/>
      <c r="AB61" s="713"/>
      <c r="AC61" s="715"/>
      <c r="AD61" s="713"/>
      <c r="AE61" s="722"/>
      <c r="AF61" s="721"/>
      <c r="AG61" s="713"/>
      <c r="AH61" s="713"/>
      <c r="AI61" s="715"/>
      <c r="AJ61" s="713"/>
      <c r="AK61" s="722"/>
      <c r="AL61" s="354"/>
      <c r="AM61" s="347"/>
      <c r="AN61" s="347"/>
      <c r="AO61" s="355"/>
      <c r="AP61" s="347"/>
      <c r="AQ61" s="374"/>
      <c r="AR61" s="176"/>
    </row>
    <row r="62" spans="1:44" ht="56.25">
      <c r="A62" s="1100">
        <v>25</v>
      </c>
      <c r="B62" s="1102">
        <v>735768</v>
      </c>
      <c r="C62" s="1104" t="s">
        <v>1221</v>
      </c>
      <c r="D62" s="1106">
        <v>2.5</v>
      </c>
      <c r="E62" s="1106">
        <v>37500</v>
      </c>
      <c r="F62" s="1106">
        <v>2.5</v>
      </c>
      <c r="G62" s="1108">
        <v>37500</v>
      </c>
      <c r="H62" s="1148"/>
      <c r="I62" s="1149"/>
      <c r="J62" s="365"/>
      <c r="K62" s="177"/>
      <c r="L62" s="178"/>
      <c r="M62" s="366"/>
      <c r="N62" s="689"/>
      <c r="O62" s="569"/>
      <c r="P62" s="364"/>
      <c r="Q62" s="181"/>
      <c r="R62" s="364"/>
      <c r="S62" s="374"/>
      <c r="T62" s="354"/>
      <c r="U62" s="347"/>
      <c r="V62" s="347"/>
      <c r="W62" s="355"/>
      <c r="X62" s="364"/>
      <c r="Y62" s="374"/>
      <c r="Z62" s="721" t="s">
        <v>60</v>
      </c>
      <c r="AA62" s="713" t="s">
        <v>3520</v>
      </c>
      <c r="AB62" s="180" t="s">
        <v>120</v>
      </c>
      <c r="AC62" s="181">
        <v>2</v>
      </c>
      <c r="AD62" s="43" t="s">
        <v>449</v>
      </c>
      <c r="AE62" s="182">
        <v>50</v>
      </c>
      <c r="AF62" s="721"/>
      <c r="AG62" s="713"/>
      <c r="AH62" s="713"/>
      <c r="AI62" s="715"/>
      <c r="AJ62" s="713"/>
      <c r="AK62" s="722"/>
      <c r="AL62" s="354"/>
      <c r="AM62" s="347"/>
      <c r="AN62" s="347"/>
      <c r="AO62" s="355"/>
      <c r="AP62" s="347"/>
      <c r="AQ62" s="374"/>
      <c r="AR62" s="176"/>
    </row>
    <row r="63" spans="1:44" ht="18.75">
      <c r="A63" s="1100"/>
      <c r="B63" s="1102"/>
      <c r="C63" s="1104"/>
      <c r="D63" s="1106"/>
      <c r="E63" s="1106"/>
      <c r="F63" s="1106"/>
      <c r="G63" s="1108"/>
      <c r="H63" s="363"/>
      <c r="I63" s="364"/>
      <c r="J63" s="365"/>
      <c r="K63" s="177"/>
      <c r="L63" s="178"/>
      <c r="M63" s="366"/>
      <c r="N63" s="373"/>
      <c r="O63" s="364"/>
      <c r="P63" s="364"/>
      <c r="Q63" s="181"/>
      <c r="R63" s="364"/>
      <c r="S63" s="374"/>
      <c r="T63" s="354"/>
      <c r="U63" s="347"/>
      <c r="V63" s="347"/>
      <c r="W63" s="355"/>
      <c r="X63" s="364"/>
      <c r="Y63" s="374"/>
      <c r="Z63" s="721"/>
      <c r="AA63" s="713"/>
      <c r="AB63" s="180"/>
      <c r="AC63" s="181"/>
      <c r="AD63" s="43"/>
      <c r="AE63" s="182"/>
      <c r="AF63" s="721"/>
      <c r="AG63" s="713"/>
      <c r="AH63" s="713"/>
      <c r="AI63" s="715"/>
      <c r="AJ63" s="713"/>
      <c r="AK63" s="722"/>
      <c r="AL63" s="354"/>
      <c r="AM63" s="347"/>
      <c r="AN63" s="347"/>
      <c r="AO63" s="355"/>
      <c r="AP63" s="347"/>
      <c r="AQ63" s="374"/>
      <c r="AR63" s="176"/>
    </row>
    <row r="64" spans="1:44" ht="18.75">
      <c r="A64" s="1100">
        <v>26</v>
      </c>
      <c r="B64" s="1102">
        <v>736785</v>
      </c>
      <c r="C64" s="1104" t="s">
        <v>1222</v>
      </c>
      <c r="D64" s="1106">
        <v>1.1000000000000001</v>
      </c>
      <c r="E64" s="1106">
        <v>7700</v>
      </c>
      <c r="F64" s="1106">
        <v>1.1000000000000001</v>
      </c>
      <c r="G64" s="1108">
        <v>7700</v>
      </c>
      <c r="H64" s="363"/>
      <c r="I64" s="364"/>
      <c r="J64" s="365"/>
      <c r="K64" s="177"/>
      <c r="L64" s="178"/>
      <c r="M64" s="366"/>
      <c r="N64" s="1179" t="s">
        <v>60</v>
      </c>
      <c r="O64" s="1008" t="s">
        <v>2596</v>
      </c>
      <c r="P64" s="1020" t="s">
        <v>114</v>
      </c>
      <c r="Q64" s="355">
        <v>0.9</v>
      </c>
      <c r="R64" s="358" t="s">
        <v>17</v>
      </c>
      <c r="S64" s="1114">
        <v>35600</v>
      </c>
      <c r="T64" s="354"/>
      <c r="U64" s="347"/>
      <c r="V64" s="347"/>
      <c r="W64" s="355"/>
      <c r="X64" s="364"/>
      <c r="Y64" s="374"/>
      <c r="Z64" s="354"/>
      <c r="AA64" s="347"/>
      <c r="AB64" s="347"/>
      <c r="AC64" s="355"/>
      <c r="AD64" s="347"/>
      <c r="AE64" s="374"/>
      <c r="AF64" s="354"/>
      <c r="AG64" s="347"/>
      <c r="AH64" s="347"/>
      <c r="AI64" s="355"/>
      <c r="AJ64" s="347"/>
      <c r="AK64" s="374"/>
      <c r="AL64" s="1100"/>
      <c r="AM64" s="1008"/>
      <c r="AN64" s="902"/>
      <c r="AO64" s="355"/>
      <c r="AP64" s="358"/>
      <c r="AQ64" s="1114"/>
      <c r="AR64" s="176"/>
    </row>
    <row r="65" spans="1:44" ht="18.75">
      <c r="A65" s="1100"/>
      <c r="B65" s="1102"/>
      <c r="C65" s="1104"/>
      <c r="D65" s="1106"/>
      <c r="E65" s="1106"/>
      <c r="F65" s="1106"/>
      <c r="G65" s="1108"/>
      <c r="H65" s="363"/>
      <c r="I65" s="364"/>
      <c r="J65" s="365"/>
      <c r="K65" s="177"/>
      <c r="L65" s="178"/>
      <c r="M65" s="366"/>
      <c r="N65" s="1180"/>
      <c r="O65" s="1008"/>
      <c r="P65" s="1020"/>
      <c r="Q65" s="51">
        <f>Q64*G64/F64</f>
        <v>6299.9999999999991</v>
      </c>
      <c r="R65" s="43" t="s">
        <v>32</v>
      </c>
      <c r="S65" s="1114"/>
      <c r="T65" s="354"/>
      <c r="U65" s="347"/>
      <c r="V65" s="347"/>
      <c r="W65" s="355"/>
      <c r="X65" s="364"/>
      <c r="Y65" s="374"/>
      <c r="Z65" s="354"/>
      <c r="AA65" s="347"/>
      <c r="AB65" s="347"/>
      <c r="AC65" s="355"/>
      <c r="AD65" s="347"/>
      <c r="AE65" s="374"/>
      <c r="AF65" s="354"/>
      <c r="AG65" s="347"/>
      <c r="AH65" s="347"/>
      <c r="AI65" s="355"/>
      <c r="AJ65" s="347"/>
      <c r="AK65" s="374"/>
      <c r="AL65" s="1100"/>
      <c r="AM65" s="1008"/>
      <c r="AN65" s="902"/>
      <c r="AO65" s="348"/>
      <c r="AP65" s="43"/>
      <c r="AQ65" s="1114"/>
      <c r="AR65" s="176"/>
    </row>
    <row r="66" spans="1:44" ht="18.75">
      <c r="A66" s="1100">
        <v>27</v>
      </c>
      <c r="B66" s="1102">
        <v>743043</v>
      </c>
      <c r="C66" s="1104" t="s">
        <v>1223</v>
      </c>
      <c r="D66" s="1106">
        <v>0.9</v>
      </c>
      <c r="E66" s="1106">
        <v>9000</v>
      </c>
      <c r="F66" s="1106">
        <v>0.9</v>
      </c>
      <c r="G66" s="1108">
        <v>9000</v>
      </c>
      <c r="H66" s="363"/>
      <c r="I66" s="364"/>
      <c r="J66" s="365"/>
      <c r="K66" s="177"/>
      <c r="L66" s="178"/>
      <c r="M66" s="366"/>
      <c r="N66" s="1163" t="s">
        <v>60</v>
      </c>
      <c r="O66" s="1008" t="s">
        <v>2733</v>
      </c>
      <c r="P66" s="1020" t="s">
        <v>114</v>
      </c>
      <c r="Q66" s="355">
        <v>0.7</v>
      </c>
      <c r="R66" s="358" t="s">
        <v>17</v>
      </c>
      <c r="S66" s="1114">
        <v>34500</v>
      </c>
      <c r="T66" s="354"/>
      <c r="U66" s="347"/>
      <c r="V66" s="347"/>
      <c r="W66" s="355"/>
      <c r="X66" s="364"/>
      <c r="Y66" s="374"/>
      <c r="Z66" s="354"/>
      <c r="AA66" s="347"/>
      <c r="AB66" s="347"/>
      <c r="AC66" s="355"/>
      <c r="AD66" s="347"/>
      <c r="AE66" s="374"/>
      <c r="AF66" s="354"/>
      <c r="AG66" s="347"/>
      <c r="AH66" s="347"/>
      <c r="AI66" s="355"/>
      <c r="AJ66" s="347"/>
      <c r="AK66" s="374"/>
      <c r="AL66" s="1100"/>
      <c r="AM66" s="1008"/>
      <c r="AN66" s="902"/>
      <c r="AO66" s="355"/>
      <c r="AP66" s="358"/>
      <c r="AQ66" s="1114"/>
      <c r="AR66" s="176"/>
    </row>
    <row r="67" spans="1:44" ht="18.75">
      <c r="A67" s="1100"/>
      <c r="B67" s="1102"/>
      <c r="C67" s="1104"/>
      <c r="D67" s="1106"/>
      <c r="E67" s="1106"/>
      <c r="F67" s="1106"/>
      <c r="G67" s="1108"/>
      <c r="H67" s="363"/>
      <c r="I67" s="364"/>
      <c r="J67" s="365"/>
      <c r="K67" s="177"/>
      <c r="L67" s="178"/>
      <c r="M67" s="366"/>
      <c r="N67" s="1163"/>
      <c r="O67" s="1008"/>
      <c r="P67" s="1020"/>
      <c r="Q67" s="51">
        <f>Q66*G66/F66</f>
        <v>7000</v>
      </c>
      <c r="R67" s="43" t="s">
        <v>32</v>
      </c>
      <c r="S67" s="1114"/>
      <c r="T67" s="354"/>
      <c r="U67" s="347"/>
      <c r="V67" s="347"/>
      <c r="W67" s="355"/>
      <c r="X67" s="364"/>
      <c r="Y67" s="374"/>
      <c r="Z67" s="354"/>
      <c r="AA67" s="347"/>
      <c r="AB67" s="347"/>
      <c r="AC67" s="355"/>
      <c r="AD67" s="347"/>
      <c r="AE67" s="374"/>
      <c r="AF67" s="354"/>
      <c r="AG67" s="347"/>
      <c r="AH67" s="347"/>
      <c r="AI67" s="355"/>
      <c r="AJ67" s="347"/>
      <c r="AK67" s="374"/>
      <c r="AL67" s="1100"/>
      <c r="AM67" s="1008"/>
      <c r="AN67" s="902"/>
      <c r="AO67" s="348"/>
      <c r="AP67" s="43"/>
      <c r="AQ67" s="1114"/>
      <c r="AR67" s="176"/>
    </row>
    <row r="68" spans="1:44" ht="18.75">
      <c r="A68" s="1100">
        <v>28</v>
      </c>
      <c r="B68" s="1102">
        <v>742796</v>
      </c>
      <c r="C68" s="1104" t="s">
        <v>1224</v>
      </c>
      <c r="D68" s="1106">
        <v>1.05</v>
      </c>
      <c r="E68" s="1106">
        <v>10500</v>
      </c>
      <c r="F68" s="1106">
        <v>1.05</v>
      </c>
      <c r="G68" s="1106">
        <v>10500</v>
      </c>
      <c r="H68" s="363"/>
      <c r="I68" s="364"/>
      <c r="J68" s="365"/>
      <c r="K68" s="177"/>
      <c r="L68" s="178"/>
      <c r="M68" s="366"/>
      <c r="N68" s="1172" t="s">
        <v>60</v>
      </c>
      <c r="O68" s="1008" t="s">
        <v>2958</v>
      </c>
      <c r="P68" s="1020" t="s">
        <v>114</v>
      </c>
      <c r="Q68" s="547">
        <v>1.05</v>
      </c>
      <c r="R68" s="553" t="s">
        <v>17</v>
      </c>
      <c r="S68" s="1114">
        <v>41660</v>
      </c>
      <c r="T68" s="354"/>
      <c r="U68" s="347"/>
      <c r="V68" s="347"/>
      <c r="W68" s="355"/>
      <c r="X68" s="364"/>
      <c r="Y68" s="374"/>
      <c r="Z68" s="354"/>
      <c r="AA68" s="347"/>
      <c r="AB68" s="347"/>
      <c r="AC68" s="355"/>
      <c r="AD68" s="347"/>
      <c r="AE68" s="374"/>
      <c r="AF68" s="354"/>
      <c r="AG68" s="347"/>
      <c r="AH68" s="347"/>
      <c r="AI68" s="355"/>
      <c r="AJ68" s="347"/>
      <c r="AK68" s="374"/>
      <c r="AL68" s="1100"/>
      <c r="AM68" s="1008"/>
      <c r="AN68" s="902"/>
      <c r="AO68" s="355"/>
      <c r="AP68" s="358"/>
      <c r="AQ68" s="1114"/>
      <c r="AR68" s="176"/>
    </row>
    <row r="69" spans="1:44" ht="18.75">
      <c r="A69" s="1100"/>
      <c r="B69" s="1102"/>
      <c r="C69" s="1104"/>
      <c r="D69" s="1106"/>
      <c r="E69" s="1106"/>
      <c r="F69" s="1106"/>
      <c r="G69" s="1106"/>
      <c r="H69" s="363"/>
      <c r="I69" s="364"/>
      <c r="J69" s="365"/>
      <c r="K69" s="177"/>
      <c r="L69" s="178"/>
      <c r="M69" s="366"/>
      <c r="N69" s="1172"/>
      <c r="O69" s="1008"/>
      <c r="P69" s="1020"/>
      <c r="Q69" s="51">
        <f>Q68*G68/F68</f>
        <v>10500</v>
      </c>
      <c r="R69" s="43" t="s">
        <v>32</v>
      </c>
      <c r="S69" s="1114"/>
      <c r="T69" s="354"/>
      <c r="U69" s="347"/>
      <c r="V69" s="347"/>
      <c r="W69" s="355"/>
      <c r="X69" s="364"/>
      <c r="Y69" s="374"/>
      <c r="Z69" s="354"/>
      <c r="AA69" s="347"/>
      <c r="AB69" s="347"/>
      <c r="AC69" s="355"/>
      <c r="AD69" s="347"/>
      <c r="AE69" s="374"/>
      <c r="AF69" s="354"/>
      <c r="AG69" s="347"/>
      <c r="AH69" s="347"/>
      <c r="AI69" s="355"/>
      <c r="AJ69" s="347"/>
      <c r="AK69" s="374"/>
      <c r="AL69" s="1100"/>
      <c r="AM69" s="1008"/>
      <c r="AN69" s="902"/>
      <c r="AO69" s="348"/>
      <c r="AP69" s="43"/>
      <c r="AQ69" s="1114"/>
      <c r="AR69" s="176"/>
    </row>
    <row r="70" spans="1:44" ht="18.75">
      <c r="A70" s="1124">
        <v>29</v>
      </c>
      <c r="B70" s="1126">
        <v>739733</v>
      </c>
      <c r="C70" s="1128" t="s">
        <v>1225</v>
      </c>
      <c r="D70" s="1130">
        <v>1.4</v>
      </c>
      <c r="E70" s="1130">
        <v>15000</v>
      </c>
      <c r="F70" s="1130">
        <v>1.4</v>
      </c>
      <c r="G70" s="1145">
        <v>15000</v>
      </c>
      <c r="H70" s="363"/>
      <c r="I70" s="364"/>
      <c r="J70" s="365"/>
      <c r="K70" s="177"/>
      <c r="L70" s="178"/>
      <c r="M70" s="366"/>
      <c r="N70" s="1176" t="s">
        <v>60</v>
      </c>
      <c r="O70" s="1110" t="s">
        <v>2595</v>
      </c>
      <c r="P70" s="1020" t="s">
        <v>114</v>
      </c>
      <c r="Q70" s="547">
        <v>1.4</v>
      </c>
      <c r="R70" s="553" t="s">
        <v>17</v>
      </c>
      <c r="S70" s="1114">
        <v>16100</v>
      </c>
      <c r="T70" s="354"/>
      <c r="U70" s="347"/>
      <c r="V70" s="347"/>
      <c r="W70" s="355"/>
      <c r="X70" s="364"/>
      <c r="Y70" s="374"/>
      <c r="Z70" s="354"/>
      <c r="AA70" s="347"/>
      <c r="AB70" s="347"/>
      <c r="AC70" s="355"/>
      <c r="AD70" s="347"/>
      <c r="AE70" s="374"/>
      <c r="AF70" s="354"/>
      <c r="AG70" s="347"/>
      <c r="AH70" s="347"/>
      <c r="AI70" s="355"/>
      <c r="AJ70" s="347"/>
      <c r="AK70" s="374"/>
      <c r="AL70" s="1124"/>
      <c r="AM70" s="1181"/>
      <c r="AN70" s="1170"/>
      <c r="AO70" s="355"/>
      <c r="AP70" s="358"/>
      <c r="AQ70" s="1183"/>
      <c r="AR70" s="176"/>
    </row>
    <row r="71" spans="1:44" ht="18.75">
      <c r="A71" s="1136"/>
      <c r="B71" s="1167"/>
      <c r="C71" s="1168"/>
      <c r="D71" s="1143"/>
      <c r="E71" s="1143"/>
      <c r="F71" s="1143"/>
      <c r="G71" s="1146"/>
      <c r="H71" s="363"/>
      <c r="I71" s="364"/>
      <c r="J71" s="365"/>
      <c r="K71" s="177"/>
      <c r="L71" s="178"/>
      <c r="M71" s="366"/>
      <c r="N71" s="1177"/>
      <c r="O71" s="1110"/>
      <c r="P71" s="1020"/>
      <c r="Q71" s="51">
        <f>Q70*G70/F70</f>
        <v>15000.000000000002</v>
      </c>
      <c r="R71" s="43" t="s">
        <v>32</v>
      </c>
      <c r="S71" s="1114"/>
      <c r="T71" s="354"/>
      <c r="U71" s="347"/>
      <c r="V71" s="347"/>
      <c r="W71" s="355"/>
      <c r="X71" s="364"/>
      <c r="Y71" s="374"/>
      <c r="Z71" s="354"/>
      <c r="AA71" s="347"/>
      <c r="AB71" s="347"/>
      <c r="AC71" s="355"/>
      <c r="AD71" s="347"/>
      <c r="AE71" s="374"/>
      <c r="AF71" s="354"/>
      <c r="AG71" s="347"/>
      <c r="AH71" s="347"/>
      <c r="AI71" s="355"/>
      <c r="AJ71" s="347"/>
      <c r="AK71" s="374"/>
      <c r="AL71" s="1125"/>
      <c r="AM71" s="1182"/>
      <c r="AN71" s="1171"/>
      <c r="AO71" s="348"/>
      <c r="AP71" s="43"/>
      <c r="AQ71" s="1184"/>
      <c r="AR71" s="176"/>
    </row>
    <row r="72" spans="1:44" ht="18.75" customHeight="1">
      <c r="A72" s="1136"/>
      <c r="B72" s="1167"/>
      <c r="C72" s="1168"/>
      <c r="D72" s="1143"/>
      <c r="E72" s="1143"/>
      <c r="F72" s="1143"/>
      <c r="G72" s="1146"/>
      <c r="H72" s="377"/>
      <c r="I72" s="363"/>
      <c r="J72" s="365"/>
      <c r="K72" s="177"/>
      <c r="L72" s="178"/>
      <c r="M72" s="366"/>
      <c r="N72" s="1186" t="s">
        <v>2959</v>
      </c>
      <c r="O72" s="1061" t="s">
        <v>2959</v>
      </c>
      <c r="P72" s="1008" t="s">
        <v>1210</v>
      </c>
      <c r="Q72" s="547">
        <v>9.9999999999999995E-8</v>
      </c>
      <c r="R72" s="553" t="s">
        <v>1226</v>
      </c>
      <c r="S72" s="1114">
        <v>25600</v>
      </c>
      <c r="T72" s="354"/>
      <c r="U72" s="347"/>
      <c r="V72" s="347"/>
      <c r="W72" s="355"/>
      <c r="X72" s="364"/>
      <c r="Y72" s="374"/>
      <c r="Z72" s="361"/>
      <c r="AA72" s="352"/>
      <c r="AB72" s="347"/>
      <c r="AC72" s="355"/>
      <c r="AD72" s="347"/>
      <c r="AE72" s="374"/>
      <c r="AF72" s="354"/>
      <c r="AG72" s="347"/>
      <c r="AH72" s="347"/>
      <c r="AI72" s="355"/>
      <c r="AJ72" s="347"/>
      <c r="AK72" s="374"/>
      <c r="AL72" s="346"/>
      <c r="AM72" s="345"/>
      <c r="AN72" s="362"/>
      <c r="AO72" s="197"/>
      <c r="AP72" s="198"/>
      <c r="AQ72" s="379"/>
      <c r="AR72" s="176"/>
    </row>
    <row r="73" spans="1:44" ht="18.75">
      <c r="A73" s="1136"/>
      <c r="B73" s="1167"/>
      <c r="C73" s="1168"/>
      <c r="D73" s="1143"/>
      <c r="E73" s="1143"/>
      <c r="F73" s="1143"/>
      <c r="G73" s="1146"/>
      <c r="H73" s="377"/>
      <c r="I73" s="363"/>
      <c r="J73" s="365"/>
      <c r="K73" s="177"/>
      <c r="L73" s="178"/>
      <c r="M73" s="366"/>
      <c r="N73" s="1187"/>
      <c r="O73" s="1061"/>
      <c r="P73" s="1008"/>
      <c r="Q73" s="177">
        <f>Q72*G70/F70</f>
        <v>1.0714285714285715E-3</v>
      </c>
      <c r="R73" s="43" t="s">
        <v>32</v>
      </c>
      <c r="S73" s="1114"/>
      <c r="T73" s="354"/>
      <c r="U73" s="347"/>
      <c r="V73" s="347"/>
      <c r="W73" s="355"/>
      <c r="X73" s="364"/>
      <c r="Y73" s="374"/>
      <c r="Z73" s="361"/>
      <c r="AA73" s="352"/>
      <c r="AB73" s="347"/>
      <c r="AC73" s="355"/>
      <c r="AD73" s="347"/>
      <c r="AE73" s="374"/>
      <c r="AF73" s="354"/>
      <c r="AG73" s="347"/>
      <c r="AH73" s="347"/>
      <c r="AI73" s="355"/>
      <c r="AJ73" s="347"/>
      <c r="AK73" s="374"/>
      <c r="AL73" s="346"/>
      <c r="AM73" s="345"/>
      <c r="AN73" s="362"/>
      <c r="AO73" s="197"/>
      <c r="AP73" s="198"/>
      <c r="AQ73" s="379"/>
      <c r="AR73" s="176"/>
    </row>
    <row r="74" spans="1:44" ht="56.25">
      <c r="A74" s="1136"/>
      <c r="B74" s="1167"/>
      <c r="C74" s="1168"/>
      <c r="D74" s="1143"/>
      <c r="E74" s="1143"/>
      <c r="F74" s="1143"/>
      <c r="G74" s="1146"/>
      <c r="H74" s="377"/>
      <c r="I74" s="363"/>
      <c r="J74" s="365"/>
      <c r="K74" s="177"/>
      <c r="L74" s="178"/>
      <c r="M74" s="366"/>
      <c r="N74" s="570" t="s">
        <v>2960</v>
      </c>
      <c r="O74" s="569" t="s">
        <v>2960</v>
      </c>
      <c r="P74" s="180" t="s">
        <v>120</v>
      </c>
      <c r="Q74" s="181">
        <v>2</v>
      </c>
      <c r="R74" s="43" t="s">
        <v>449</v>
      </c>
      <c r="S74" s="182">
        <v>50</v>
      </c>
      <c r="T74" s="354"/>
      <c r="U74" s="347"/>
      <c r="V74" s="347"/>
      <c r="W74" s="355"/>
      <c r="X74" s="364"/>
      <c r="Y74" s="374"/>
      <c r="Z74" s="361"/>
      <c r="AA74" s="352"/>
      <c r="AB74" s="347"/>
      <c r="AC74" s="355"/>
      <c r="AD74" s="347"/>
      <c r="AE74" s="374"/>
      <c r="AF74" s="354"/>
      <c r="AG74" s="347"/>
      <c r="AH74" s="347"/>
      <c r="AI74" s="355"/>
      <c r="AJ74" s="347"/>
      <c r="AK74" s="374"/>
      <c r="AL74" s="346"/>
      <c r="AM74" s="345"/>
      <c r="AN74" s="362"/>
      <c r="AO74" s="197"/>
      <c r="AP74" s="198"/>
      <c r="AQ74" s="379"/>
      <c r="AR74" s="176"/>
    </row>
    <row r="75" spans="1:44" ht="56.25">
      <c r="A75" s="1125"/>
      <c r="B75" s="1127"/>
      <c r="C75" s="1129"/>
      <c r="D75" s="1144"/>
      <c r="E75" s="1144"/>
      <c r="F75" s="1144"/>
      <c r="G75" s="1147"/>
      <c r="H75" s="377"/>
      <c r="I75" s="363"/>
      <c r="J75" s="365"/>
      <c r="K75" s="177"/>
      <c r="L75" s="178"/>
      <c r="M75" s="366"/>
      <c r="N75" s="570" t="s">
        <v>2960</v>
      </c>
      <c r="O75" s="569" t="s">
        <v>2960</v>
      </c>
      <c r="P75" s="180" t="s">
        <v>93</v>
      </c>
      <c r="Q75" s="68">
        <v>4</v>
      </c>
      <c r="R75" s="43" t="s">
        <v>449</v>
      </c>
      <c r="S75" s="182">
        <v>50</v>
      </c>
      <c r="T75" s="354"/>
      <c r="U75" s="347"/>
      <c r="V75" s="347"/>
      <c r="W75" s="355"/>
      <c r="X75" s="364"/>
      <c r="Y75" s="374"/>
      <c r="Z75" s="361"/>
      <c r="AA75" s="352"/>
      <c r="AB75" s="347"/>
      <c r="AC75" s="355"/>
      <c r="AD75" s="347"/>
      <c r="AE75" s="374"/>
      <c r="AF75" s="354"/>
      <c r="AG75" s="347"/>
      <c r="AH75" s="347"/>
      <c r="AI75" s="355"/>
      <c r="AJ75" s="347"/>
      <c r="AK75" s="374"/>
      <c r="AL75" s="346"/>
      <c r="AM75" s="345"/>
      <c r="AN75" s="362"/>
      <c r="AO75" s="197"/>
      <c r="AP75" s="198"/>
      <c r="AQ75" s="379"/>
      <c r="AR75" s="176"/>
    </row>
    <row r="76" spans="1:44" ht="18.75">
      <c r="A76" s="1124">
        <v>30</v>
      </c>
      <c r="B76" s="1126">
        <v>737976</v>
      </c>
      <c r="C76" s="1128" t="s">
        <v>1227</v>
      </c>
      <c r="D76" s="1130">
        <v>4.383</v>
      </c>
      <c r="E76" s="1130">
        <v>71788</v>
      </c>
      <c r="F76" s="1130">
        <v>4.383</v>
      </c>
      <c r="G76" s="1145">
        <v>71788</v>
      </c>
      <c r="H76" s="1163" t="s">
        <v>2944</v>
      </c>
      <c r="I76" s="1008" t="s">
        <v>2945</v>
      </c>
      <c r="J76" s="902" t="s">
        <v>31</v>
      </c>
      <c r="K76" s="355">
        <v>1.7</v>
      </c>
      <c r="L76" s="358" t="s">
        <v>17</v>
      </c>
      <c r="M76" s="1119">
        <v>12863.095939999999</v>
      </c>
      <c r="N76" s="1185" t="s">
        <v>2945</v>
      </c>
      <c r="O76" s="1008" t="s">
        <v>2961</v>
      </c>
      <c r="P76" s="1020" t="s">
        <v>114</v>
      </c>
      <c r="Q76" s="547">
        <v>1</v>
      </c>
      <c r="R76" s="553" t="s">
        <v>17</v>
      </c>
      <c r="S76" s="1114">
        <v>11200</v>
      </c>
      <c r="T76" s="189"/>
      <c r="U76" s="12"/>
      <c r="V76" s="12"/>
      <c r="W76" s="61"/>
      <c r="X76" s="12"/>
      <c r="Y76" s="190"/>
      <c r="Z76" s="1161"/>
      <c r="AA76" s="1162"/>
      <c r="AB76" s="359"/>
      <c r="AC76" s="360"/>
      <c r="AD76" s="359"/>
      <c r="AE76" s="188"/>
      <c r="AF76" s="354"/>
      <c r="AG76" s="347"/>
      <c r="AH76" s="347"/>
      <c r="AI76" s="355"/>
      <c r="AJ76" s="347"/>
      <c r="AK76" s="374"/>
      <c r="AL76" s="199"/>
      <c r="AM76" s="357"/>
      <c r="AN76" s="23"/>
      <c r="AO76" s="200"/>
      <c r="AP76" s="200"/>
      <c r="AQ76" s="183"/>
      <c r="AR76" s="176"/>
    </row>
    <row r="77" spans="1:44" ht="18.75">
      <c r="A77" s="1125"/>
      <c r="B77" s="1127"/>
      <c r="C77" s="1129"/>
      <c r="D77" s="1144"/>
      <c r="E77" s="1144"/>
      <c r="F77" s="1144"/>
      <c r="G77" s="1147"/>
      <c r="H77" s="1163"/>
      <c r="I77" s="1008"/>
      <c r="J77" s="902"/>
      <c r="K77" s="184">
        <f>K76*G76/F76</f>
        <v>27843.851243440564</v>
      </c>
      <c r="L77" s="43" t="s">
        <v>32</v>
      </c>
      <c r="M77" s="1120"/>
      <c r="N77" s="1185"/>
      <c r="O77" s="1008"/>
      <c r="P77" s="1020"/>
      <c r="Q77" s="51">
        <f>Q76*G76/F76</f>
        <v>16378.736025553275</v>
      </c>
      <c r="R77" s="43" t="s">
        <v>32</v>
      </c>
      <c r="S77" s="1114"/>
      <c r="T77" s="189"/>
      <c r="U77" s="12"/>
      <c r="V77" s="12"/>
      <c r="W77" s="61"/>
      <c r="X77" s="12"/>
      <c r="Y77" s="190"/>
      <c r="Z77" s="375"/>
      <c r="AA77" s="376"/>
      <c r="AB77" s="359"/>
      <c r="AC77" s="360"/>
      <c r="AD77" s="359"/>
      <c r="AE77" s="188"/>
      <c r="AF77" s="354"/>
      <c r="AG77" s="347"/>
      <c r="AH77" s="347"/>
      <c r="AI77" s="355"/>
      <c r="AJ77" s="347"/>
      <c r="AK77" s="374"/>
      <c r="AL77" s="199"/>
      <c r="AM77" s="357"/>
      <c r="AN77" s="23"/>
      <c r="AO77" s="200"/>
      <c r="AP77" s="200"/>
      <c r="AQ77" s="183"/>
      <c r="AR77" s="176"/>
    </row>
    <row r="78" spans="1:44" ht="30">
      <c r="A78" s="354">
        <v>31</v>
      </c>
      <c r="B78" s="369"/>
      <c r="C78" s="370" t="s">
        <v>1228</v>
      </c>
      <c r="D78" s="371">
        <v>0.6</v>
      </c>
      <c r="E78" s="371">
        <v>12320</v>
      </c>
      <c r="F78" s="371">
        <v>0.6</v>
      </c>
      <c r="G78" s="368">
        <v>12320</v>
      </c>
      <c r="H78" s="1148"/>
      <c r="I78" s="1149"/>
      <c r="J78" s="365"/>
      <c r="K78" s="177"/>
      <c r="L78" s="178"/>
      <c r="M78" s="366"/>
      <c r="N78" s="689"/>
      <c r="O78" s="569"/>
      <c r="P78" s="569"/>
      <c r="Q78" s="181"/>
      <c r="R78" s="569"/>
      <c r="S78" s="374"/>
      <c r="T78" s="354"/>
      <c r="U78" s="347"/>
      <c r="V78" s="347"/>
      <c r="W78" s="355"/>
      <c r="X78" s="364"/>
      <c r="Y78" s="374"/>
      <c r="Z78" s="354"/>
      <c r="AA78" s="347"/>
      <c r="AB78" s="347"/>
      <c r="AC78" s="355"/>
      <c r="AD78" s="347"/>
      <c r="AE78" s="374"/>
      <c r="AF78" s="354"/>
      <c r="AG78" s="347"/>
      <c r="AH78" s="347"/>
      <c r="AI78" s="355"/>
      <c r="AJ78" s="347"/>
      <c r="AK78" s="374"/>
      <c r="AL78" s="354"/>
      <c r="AM78" s="347"/>
      <c r="AN78" s="347"/>
      <c r="AO78" s="355"/>
      <c r="AP78" s="347"/>
      <c r="AQ78" s="374"/>
      <c r="AR78" s="176"/>
    </row>
    <row r="79" spans="1:44" ht="18.75" customHeight="1">
      <c r="A79" s="1124">
        <v>32</v>
      </c>
      <c r="B79" s="1126">
        <v>736881</v>
      </c>
      <c r="C79" s="1128" t="s">
        <v>1229</v>
      </c>
      <c r="D79" s="1130">
        <v>4.3</v>
      </c>
      <c r="E79" s="1130">
        <v>40674</v>
      </c>
      <c r="F79" s="1130">
        <v>4.3</v>
      </c>
      <c r="G79" s="1145">
        <v>40674</v>
      </c>
      <c r="H79" s="363"/>
      <c r="I79" s="364"/>
      <c r="J79" s="365"/>
      <c r="K79" s="177"/>
      <c r="L79" s="178"/>
      <c r="M79" s="366"/>
      <c r="N79" s="1186" t="s">
        <v>2962</v>
      </c>
      <c r="O79" s="1061" t="s">
        <v>2962</v>
      </c>
      <c r="P79" s="1008" t="s">
        <v>1210</v>
      </c>
      <c r="Q79" s="547">
        <v>9.9999999999999995E-8</v>
      </c>
      <c r="R79" s="553" t="s">
        <v>1226</v>
      </c>
      <c r="S79" s="1114">
        <v>23100</v>
      </c>
      <c r="T79" s="354"/>
      <c r="U79" s="347"/>
      <c r="V79" s="347"/>
      <c r="W79" s="355"/>
      <c r="X79" s="364"/>
      <c r="Y79" s="374"/>
      <c r="Z79" s="1161"/>
      <c r="AA79" s="1162"/>
      <c r="AB79" s="359"/>
      <c r="AC79" s="360"/>
      <c r="AD79" s="359"/>
      <c r="AE79" s="188"/>
      <c r="AF79" s="354"/>
      <c r="AG79" s="347"/>
      <c r="AH79" s="347"/>
      <c r="AI79" s="355"/>
      <c r="AJ79" s="347"/>
      <c r="AK79" s="374"/>
      <c r="AL79" s="354"/>
      <c r="AM79" s="347"/>
      <c r="AN79" s="347"/>
      <c r="AO79" s="355"/>
      <c r="AP79" s="347"/>
      <c r="AQ79" s="374"/>
      <c r="AR79" s="176"/>
    </row>
    <row r="80" spans="1:44" ht="18.75">
      <c r="A80" s="1136"/>
      <c r="B80" s="1167"/>
      <c r="C80" s="1168"/>
      <c r="D80" s="1143"/>
      <c r="E80" s="1143"/>
      <c r="F80" s="1143"/>
      <c r="G80" s="1146"/>
      <c r="H80" s="363"/>
      <c r="I80" s="364"/>
      <c r="J80" s="365"/>
      <c r="K80" s="177"/>
      <c r="L80" s="178"/>
      <c r="M80" s="366"/>
      <c r="N80" s="1187"/>
      <c r="O80" s="1061"/>
      <c r="P80" s="1008"/>
      <c r="Q80" s="177">
        <f>Q79*G79/F79</f>
        <v>9.4590697674418601E-4</v>
      </c>
      <c r="R80" s="43" t="s">
        <v>32</v>
      </c>
      <c r="S80" s="1114"/>
      <c r="T80" s="354"/>
      <c r="U80" s="347"/>
      <c r="V80" s="347"/>
      <c r="W80" s="355"/>
      <c r="X80" s="364"/>
      <c r="Y80" s="374"/>
      <c r="Z80" s="375"/>
      <c r="AA80" s="376"/>
      <c r="AB80" s="359"/>
      <c r="AC80" s="360"/>
      <c r="AD80" s="359"/>
      <c r="AE80" s="188"/>
      <c r="AF80" s="354"/>
      <c r="AG80" s="347"/>
      <c r="AH80" s="347"/>
      <c r="AI80" s="355"/>
      <c r="AJ80" s="347"/>
      <c r="AK80" s="374"/>
      <c r="AL80" s="354"/>
      <c r="AM80" s="347"/>
      <c r="AN80" s="347"/>
      <c r="AO80" s="355"/>
      <c r="AP80" s="347"/>
      <c r="AQ80" s="374"/>
      <c r="AR80" s="176"/>
    </row>
    <row r="81" spans="1:44" ht="56.25">
      <c r="A81" s="1136"/>
      <c r="B81" s="1167"/>
      <c r="C81" s="1168"/>
      <c r="D81" s="1143"/>
      <c r="E81" s="1143"/>
      <c r="F81" s="1143"/>
      <c r="G81" s="1146"/>
      <c r="H81" s="363"/>
      <c r="I81" s="364"/>
      <c r="J81" s="365"/>
      <c r="K81" s="177"/>
      <c r="L81" s="178"/>
      <c r="M81" s="179"/>
      <c r="N81" s="323" t="s">
        <v>2963</v>
      </c>
      <c r="O81" s="692" t="s">
        <v>2963</v>
      </c>
      <c r="P81" s="180" t="s">
        <v>120</v>
      </c>
      <c r="Q81" s="181">
        <v>2</v>
      </c>
      <c r="R81" s="43" t="s">
        <v>449</v>
      </c>
      <c r="S81" s="201">
        <v>50</v>
      </c>
      <c r="T81" s="354"/>
      <c r="U81" s="347"/>
      <c r="V81" s="347"/>
      <c r="W81" s="355"/>
      <c r="X81" s="364"/>
      <c r="Y81" s="374"/>
      <c r="Z81" s="375"/>
      <c r="AA81" s="376"/>
      <c r="AB81" s="359"/>
      <c r="AC81" s="360"/>
      <c r="AD81" s="359"/>
      <c r="AE81" s="188"/>
      <c r="AF81" s="354"/>
      <c r="AG81" s="347"/>
      <c r="AH81" s="347"/>
      <c r="AI81" s="355"/>
      <c r="AJ81" s="347"/>
      <c r="AK81" s="374"/>
      <c r="AL81" s="354"/>
      <c r="AM81" s="347"/>
      <c r="AN81" s="347"/>
      <c r="AO81" s="355"/>
      <c r="AP81" s="347"/>
      <c r="AQ81" s="374"/>
      <c r="AR81" s="176"/>
    </row>
    <row r="82" spans="1:44" ht="56.25">
      <c r="A82" s="1136"/>
      <c r="B82" s="1167"/>
      <c r="C82" s="1168"/>
      <c r="D82" s="1143"/>
      <c r="E82" s="1143"/>
      <c r="F82" s="1143"/>
      <c r="G82" s="1146"/>
      <c r="H82" s="363"/>
      <c r="I82" s="364"/>
      <c r="J82" s="365"/>
      <c r="K82" s="177"/>
      <c r="L82" s="178"/>
      <c r="M82" s="179"/>
      <c r="N82" s="323" t="s">
        <v>2963</v>
      </c>
      <c r="O82" s="692" t="s">
        <v>2963</v>
      </c>
      <c r="P82" s="180" t="s">
        <v>93</v>
      </c>
      <c r="Q82" s="68">
        <v>4</v>
      </c>
      <c r="R82" s="43" t="s">
        <v>449</v>
      </c>
      <c r="S82" s="182">
        <v>50</v>
      </c>
      <c r="T82" s="354"/>
      <c r="U82" s="347"/>
      <c r="V82" s="347"/>
      <c r="W82" s="355"/>
      <c r="X82" s="364"/>
      <c r="Y82" s="374"/>
      <c r="Z82" s="375"/>
      <c r="AA82" s="376"/>
      <c r="AB82" s="359"/>
      <c r="AC82" s="360"/>
      <c r="AD82" s="359"/>
      <c r="AE82" s="188"/>
      <c r="AF82" s="354"/>
      <c r="AG82" s="347"/>
      <c r="AH82" s="347"/>
      <c r="AI82" s="355"/>
      <c r="AJ82" s="347"/>
      <c r="AK82" s="374"/>
      <c r="AL82" s="354"/>
      <c r="AM82" s="347"/>
      <c r="AN82" s="347"/>
      <c r="AO82" s="355"/>
      <c r="AP82" s="347"/>
      <c r="AQ82" s="374"/>
      <c r="AR82" s="176"/>
    </row>
    <row r="83" spans="1:44" ht="56.25">
      <c r="A83" s="1136"/>
      <c r="B83" s="1167"/>
      <c r="C83" s="1168"/>
      <c r="D83" s="1143"/>
      <c r="E83" s="1143"/>
      <c r="F83" s="1143"/>
      <c r="G83" s="1146"/>
      <c r="H83" s="363"/>
      <c r="I83" s="364"/>
      <c r="J83" s="365"/>
      <c r="K83" s="177"/>
      <c r="L83" s="178"/>
      <c r="M83" s="179"/>
      <c r="N83" s="323" t="s">
        <v>2964</v>
      </c>
      <c r="O83" s="692" t="s">
        <v>2964</v>
      </c>
      <c r="P83" s="180" t="s">
        <v>120</v>
      </c>
      <c r="Q83" s="181">
        <v>2</v>
      </c>
      <c r="R83" s="43" t="s">
        <v>449</v>
      </c>
      <c r="S83" s="201">
        <v>50</v>
      </c>
      <c r="T83" s="354"/>
      <c r="U83" s="347"/>
      <c r="V83" s="347"/>
      <c r="W83" s="355"/>
      <c r="X83" s="364"/>
      <c r="Y83" s="374"/>
      <c r="Z83" s="375"/>
      <c r="AA83" s="376"/>
      <c r="AB83" s="359"/>
      <c r="AC83" s="360"/>
      <c r="AD83" s="359"/>
      <c r="AE83" s="188"/>
      <c r="AF83" s="354"/>
      <c r="AG83" s="347"/>
      <c r="AH83" s="347"/>
      <c r="AI83" s="355"/>
      <c r="AJ83" s="347"/>
      <c r="AK83" s="374"/>
      <c r="AL83" s="354"/>
      <c r="AM83" s="347"/>
      <c r="AN83" s="347"/>
      <c r="AO83" s="355"/>
      <c r="AP83" s="347"/>
      <c r="AQ83" s="374"/>
      <c r="AR83" s="176"/>
    </row>
    <row r="84" spans="1:44" ht="56.25">
      <c r="A84" s="1125"/>
      <c r="B84" s="1127"/>
      <c r="C84" s="1129"/>
      <c r="D84" s="1144"/>
      <c r="E84" s="1144"/>
      <c r="F84" s="1144"/>
      <c r="G84" s="1147"/>
      <c r="H84" s="363"/>
      <c r="I84" s="364"/>
      <c r="J84" s="365"/>
      <c r="K84" s="177"/>
      <c r="L84" s="178"/>
      <c r="M84" s="179"/>
      <c r="N84" s="323" t="s">
        <v>2964</v>
      </c>
      <c r="O84" s="692" t="s">
        <v>2964</v>
      </c>
      <c r="P84" s="180" t="s">
        <v>93</v>
      </c>
      <c r="Q84" s="68">
        <v>4</v>
      </c>
      <c r="R84" s="43" t="s">
        <v>449</v>
      </c>
      <c r="S84" s="182">
        <v>50</v>
      </c>
      <c r="T84" s="354"/>
      <c r="U84" s="347"/>
      <c r="V84" s="347"/>
      <c r="W84" s="355"/>
      <c r="X84" s="364"/>
      <c r="Y84" s="374"/>
      <c r="Z84" s="375"/>
      <c r="AA84" s="376"/>
      <c r="AB84" s="359"/>
      <c r="AC84" s="360"/>
      <c r="AD84" s="359"/>
      <c r="AE84" s="188"/>
      <c r="AF84" s="354"/>
      <c r="AG84" s="347"/>
      <c r="AH84" s="347"/>
      <c r="AI84" s="355"/>
      <c r="AJ84" s="347"/>
      <c r="AK84" s="374"/>
      <c r="AL84" s="354"/>
      <c r="AM84" s="347"/>
      <c r="AN84" s="347"/>
      <c r="AO84" s="355"/>
      <c r="AP84" s="347"/>
      <c r="AQ84" s="374"/>
      <c r="AR84" s="176"/>
    </row>
    <row r="85" spans="1:44" ht="56.25">
      <c r="A85" s="1124">
        <v>33</v>
      </c>
      <c r="B85" s="1126">
        <v>739483</v>
      </c>
      <c r="C85" s="1128" t="s">
        <v>1230</v>
      </c>
      <c r="D85" s="1130">
        <v>3.2</v>
      </c>
      <c r="E85" s="1130">
        <v>24106</v>
      </c>
      <c r="F85" s="1130">
        <v>3.2</v>
      </c>
      <c r="G85" s="1145">
        <v>24106</v>
      </c>
      <c r="H85" s="363"/>
      <c r="I85" s="364"/>
      <c r="J85" s="365"/>
      <c r="K85" s="177"/>
      <c r="L85" s="178"/>
      <c r="M85" s="179"/>
      <c r="N85" s="323" t="s">
        <v>2965</v>
      </c>
      <c r="O85" s="692" t="s">
        <v>2965</v>
      </c>
      <c r="P85" s="180" t="s">
        <v>120</v>
      </c>
      <c r="Q85" s="181">
        <v>2</v>
      </c>
      <c r="R85" s="43" t="s">
        <v>449</v>
      </c>
      <c r="S85" s="201">
        <v>50</v>
      </c>
      <c r="T85" s="189"/>
      <c r="U85" s="12"/>
      <c r="V85" s="12"/>
      <c r="W85" s="61"/>
      <c r="X85" s="12"/>
      <c r="Y85" s="190"/>
      <c r="Z85" s="354"/>
      <c r="AA85" s="347"/>
      <c r="AB85" s="347"/>
      <c r="AC85" s="355"/>
      <c r="AD85" s="364"/>
      <c r="AE85" s="374"/>
      <c r="AF85" s="354"/>
      <c r="AG85" s="347"/>
      <c r="AH85" s="347"/>
      <c r="AI85" s="355"/>
      <c r="AJ85" s="347"/>
      <c r="AK85" s="374"/>
      <c r="AL85" s="354"/>
      <c r="AM85" s="347"/>
      <c r="AN85" s="347"/>
      <c r="AO85" s="355"/>
      <c r="AP85" s="347"/>
      <c r="AQ85" s="374"/>
      <c r="AR85" s="176"/>
    </row>
    <row r="86" spans="1:44" ht="56.25">
      <c r="A86" s="1125"/>
      <c r="B86" s="1127"/>
      <c r="C86" s="1129"/>
      <c r="D86" s="1131"/>
      <c r="E86" s="1131"/>
      <c r="F86" s="1131"/>
      <c r="G86" s="1188"/>
      <c r="H86" s="363"/>
      <c r="I86" s="364"/>
      <c r="J86" s="365"/>
      <c r="K86" s="177"/>
      <c r="L86" s="178"/>
      <c r="M86" s="179"/>
      <c r="N86" s="323" t="s">
        <v>2965</v>
      </c>
      <c r="O86" s="692" t="s">
        <v>2965</v>
      </c>
      <c r="P86" s="180" t="s">
        <v>93</v>
      </c>
      <c r="Q86" s="68">
        <v>4</v>
      </c>
      <c r="R86" s="43" t="s">
        <v>449</v>
      </c>
      <c r="S86" s="182">
        <v>50</v>
      </c>
      <c r="T86" s="189"/>
      <c r="U86" s="12"/>
      <c r="V86" s="12"/>
      <c r="W86" s="61"/>
      <c r="X86" s="12"/>
      <c r="Y86" s="190"/>
      <c r="Z86" s="354"/>
      <c r="AA86" s="347"/>
      <c r="AB86" s="347"/>
      <c r="AC86" s="355"/>
      <c r="AD86" s="364"/>
      <c r="AE86" s="374"/>
      <c r="AF86" s="354"/>
      <c r="AG86" s="347"/>
      <c r="AH86" s="347"/>
      <c r="AI86" s="355"/>
      <c r="AJ86" s="347"/>
      <c r="AK86" s="374"/>
      <c r="AL86" s="354"/>
      <c r="AM86" s="347"/>
      <c r="AN86" s="347"/>
      <c r="AO86" s="355"/>
      <c r="AP86" s="347"/>
      <c r="AQ86" s="374"/>
      <c r="AR86" s="176"/>
    </row>
    <row r="87" spans="1:44" ht="56.25">
      <c r="A87" s="1124">
        <v>34</v>
      </c>
      <c r="B87" s="1137" t="s">
        <v>1231</v>
      </c>
      <c r="C87" s="1128" t="s">
        <v>1232</v>
      </c>
      <c r="D87" s="1130">
        <v>1.1499999999999999</v>
      </c>
      <c r="E87" s="1130">
        <v>11500</v>
      </c>
      <c r="F87" s="1130">
        <v>1.1499999999999999</v>
      </c>
      <c r="G87" s="1145">
        <v>11500</v>
      </c>
      <c r="H87" s="363"/>
      <c r="I87" s="364"/>
      <c r="J87" s="365"/>
      <c r="K87" s="177"/>
      <c r="L87" s="178"/>
      <c r="M87" s="179"/>
      <c r="N87" s="690" t="s">
        <v>1233</v>
      </c>
      <c r="O87" s="203" t="s">
        <v>1233</v>
      </c>
      <c r="P87" s="180" t="s">
        <v>120</v>
      </c>
      <c r="Q87" s="181">
        <v>2</v>
      </c>
      <c r="R87" s="43" t="s">
        <v>449</v>
      </c>
      <c r="S87" s="201">
        <v>50</v>
      </c>
      <c r="T87" s="189"/>
      <c r="U87" s="12"/>
      <c r="V87" s="12"/>
      <c r="W87" s="61"/>
      <c r="X87" s="12"/>
      <c r="Y87" s="190"/>
      <c r="Z87" s="354"/>
      <c r="AA87" s="347"/>
      <c r="AB87" s="347"/>
      <c r="AC87" s="355"/>
      <c r="AD87" s="364"/>
      <c r="AE87" s="374"/>
      <c r="AF87" s="354"/>
      <c r="AG87" s="347"/>
      <c r="AH87" s="347"/>
      <c r="AI87" s="355"/>
      <c r="AJ87" s="347"/>
      <c r="AK87" s="374"/>
      <c r="AL87" s="354"/>
      <c r="AM87" s="347"/>
      <c r="AN87" s="347"/>
      <c r="AO87" s="355"/>
      <c r="AP87" s="347"/>
      <c r="AQ87" s="374"/>
      <c r="AR87" s="176"/>
    </row>
    <row r="88" spans="1:44" ht="56.25">
      <c r="A88" s="1125"/>
      <c r="B88" s="1139"/>
      <c r="C88" s="1129"/>
      <c r="D88" s="1144"/>
      <c r="E88" s="1144"/>
      <c r="F88" s="1144"/>
      <c r="G88" s="1147"/>
      <c r="H88" s="363"/>
      <c r="I88" s="364"/>
      <c r="J88" s="365"/>
      <c r="K88" s="177"/>
      <c r="L88" s="178"/>
      <c r="M88" s="179"/>
      <c r="N88" s="690" t="s">
        <v>1233</v>
      </c>
      <c r="O88" s="203" t="s">
        <v>1233</v>
      </c>
      <c r="P88" s="180" t="s">
        <v>93</v>
      </c>
      <c r="Q88" s="68">
        <v>4</v>
      </c>
      <c r="R88" s="43" t="s">
        <v>449</v>
      </c>
      <c r="S88" s="182">
        <v>50</v>
      </c>
      <c r="T88" s="189"/>
      <c r="U88" s="12"/>
      <c r="V88" s="12"/>
      <c r="W88" s="61"/>
      <c r="X88" s="12"/>
      <c r="Y88" s="190"/>
      <c r="Z88" s="354"/>
      <c r="AA88" s="347"/>
      <c r="AB88" s="347"/>
      <c r="AC88" s="355"/>
      <c r="AD88" s="364"/>
      <c r="AE88" s="374"/>
      <c r="AF88" s="354"/>
      <c r="AG88" s="347"/>
      <c r="AH88" s="347"/>
      <c r="AI88" s="355"/>
      <c r="AJ88" s="347"/>
      <c r="AK88" s="374"/>
      <c r="AL88" s="354"/>
      <c r="AM88" s="347"/>
      <c r="AN88" s="347"/>
      <c r="AO88" s="355"/>
      <c r="AP88" s="347"/>
      <c r="AQ88" s="374"/>
      <c r="AR88" s="176"/>
    </row>
    <row r="89" spans="1:44" ht="56.25">
      <c r="A89" s="354">
        <v>35</v>
      </c>
      <c r="B89" s="337" t="s">
        <v>1234</v>
      </c>
      <c r="C89" s="380" t="s">
        <v>1235</v>
      </c>
      <c r="D89" s="371">
        <v>1.2370000000000001</v>
      </c>
      <c r="E89" s="371">
        <v>6464</v>
      </c>
      <c r="F89" s="371">
        <v>1.2370000000000001</v>
      </c>
      <c r="G89" s="371">
        <v>6464</v>
      </c>
      <c r="H89" s="363"/>
      <c r="I89" s="364"/>
      <c r="J89" s="365"/>
      <c r="K89" s="177"/>
      <c r="L89" s="178"/>
      <c r="M89" s="366"/>
      <c r="N89" s="689"/>
      <c r="O89" s="569"/>
      <c r="P89" s="569"/>
      <c r="Q89" s="181"/>
      <c r="R89" s="569"/>
      <c r="S89" s="374"/>
      <c r="T89" s="189"/>
      <c r="U89" s="12"/>
      <c r="V89" s="12"/>
      <c r="W89" s="61"/>
      <c r="X89" s="12"/>
      <c r="Y89" s="190"/>
      <c r="Z89" s="354"/>
      <c r="AA89" s="347"/>
      <c r="AB89" s="347"/>
      <c r="AC89" s="355"/>
      <c r="AD89" s="364"/>
      <c r="AE89" s="374"/>
      <c r="AF89" s="354"/>
      <c r="AG89" s="347"/>
      <c r="AH89" s="347"/>
      <c r="AI89" s="355"/>
      <c r="AJ89" s="347"/>
      <c r="AK89" s="374"/>
      <c r="AL89" s="354"/>
      <c r="AM89" s="347"/>
      <c r="AN89" s="180" t="s">
        <v>93</v>
      </c>
      <c r="AO89" s="68">
        <v>4</v>
      </c>
      <c r="AP89" s="43" t="s">
        <v>449</v>
      </c>
      <c r="AQ89" s="182">
        <v>50</v>
      </c>
      <c r="AR89" s="176"/>
    </row>
    <row r="90" spans="1:44" ht="56.25">
      <c r="A90" s="354">
        <v>36</v>
      </c>
      <c r="B90" s="369">
        <v>740213</v>
      </c>
      <c r="C90" s="380" t="s">
        <v>1236</v>
      </c>
      <c r="D90" s="371">
        <v>0.75</v>
      </c>
      <c r="E90" s="371">
        <v>8250</v>
      </c>
      <c r="F90" s="371">
        <v>0.75</v>
      </c>
      <c r="G90" s="371">
        <v>8250</v>
      </c>
      <c r="H90" s="363"/>
      <c r="I90" s="364"/>
      <c r="J90" s="365"/>
      <c r="K90" s="177"/>
      <c r="L90" s="178"/>
      <c r="M90" s="366"/>
      <c r="N90" s="689"/>
      <c r="O90" s="569"/>
      <c r="P90" s="569"/>
      <c r="Q90" s="181"/>
      <c r="R90" s="569"/>
      <c r="S90" s="374"/>
      <c r="T90" s="354"/>
      <c r="U90" s="347"/>
      <c r="V90" s="347"/>
      <c r="W90" s="355"/>
      <c r="X90" s="364"/>
      <c r="Y90" s="374"/>
      <c r="Z90" s="354"/>
      <c r="AA90" s="347"/>
      <c r="AB90" s="347"/>
      <c r="AC90" s="355"/>
      <c r="AD90" s="347"/>
      <c r="AE90" s="374"/>
      <c r="AF90" s="354"/>
      <c r="AG90" s="347"/>
      <c r="AH90" s="347"/>
      <c r="AI90" s="355"/>
      <c r="AJ90" s="347"/>
      <c r="AK90" s="374"/>
      <c r="AL90" s="354"/>
      <c r="AM90" s="347"/>
      <c r="AN90" s="180" t="s">
        <v>93</v>
      </c>
      <c r="AO90" s="68">
        <v>4</v>
      </c>
      <c r="AP90" s="43" t="s">
        <v>449</v>
      </c>
      <c r="AQ90" s="182">
        <v>50</v>
      </c>
      <c r="AR90" s="176"/>
    </row>
    <row r="91" spans="1:44" ht="56.25">
      <c r="A91" s="354">
        <v>37</v>
      </c>
      <c r="B91" s="337" t="s">
        <v>1237</v>
      </c>
      <c r="C91" s="380" t="s">
        <v>1238</v>
      </c>
      <c r="D91" s="371">
        <v>0.7</v>
      </c>
      <c r="E91" s="371">
        <v>7650</v>
      </c>
      <c r="F91" s="371">
        <v>0.7</v>
      </c>
      <c r="G91" s="368">
        <v>7650</v>
      </c>
      <c r="H91" s="363"/>
      <c r="I91" s="364"/>
      <c r="J91" s="365"/>
      <c r="K91" s="177"/>
      <c r="L91" s="178"/>
      <c r="M91" s="366"/>
      <c r="N91" s="689"/>
      <c r="O91" s="569"/>
      <c r="P91" s="569"/>
      <c r="Q91" s="181"/>
      <c r="R91" s="569"/>
      <c r="S91" s="374"/>
      <c r="T91" s="354"/>
      <c r="U91" s="347"/>
      <c r="V91" s="347"/>
      <c r="W91" s="355"/>
      <c r="X91" s="364"/>
      <c r="Y91" s="374"/>
      <c r="Z91" s="354"/>
      <c r="AA91" s="347"/>
      <c r="AB91" s="347"/>
      <c r="AC91" s="355"/>
      <c r="AD91" s="347"/>
      <c r="AE91" s="374"/>
      <c r="AF91" s="354"/>
      <c r="AG91" s="347"/>
      <c r="AH91" s="180" t="s">
        <v>93</v>
      </c>
      <c r="AI91" s="68">
        <v>4</v>
      </c>
      <c r="AJ91" s="43" t="s">
        <v>449</v>
      </c>
      <c r="AK91" s="182">
        <v>50</v>
      </c>
      <c r="AL91" s="354"/>
      <c r="AM91" s="347"/>
      <c r="AN91" s="347"/>
      <c r="AO91" s="355"/>
      <c r="AP91" s="347"/>
      <c r="AQ91" s="374"/>
      <c r="AR91" s="176"/>
    </row>
    <row r="92" spans="1:44" ht="56.25">
      <c r="A92" s="1124">
        <v>38</v>
      </c>
      <c r="B92" s="1137" t="s">
        <v>1239</v>
      </c>
      <c r="C92" s="1128" t="s">
        <v>1240</v>
      </c>
      <c r="D92" s="1130">
        <v>0.95</v>
      </c>
      <c r="E92" s="1130">
        <v>6911</v>
      </c>
      <c r="F92" s="1130">
        <v>0.95</v>
      </c>
      <c r="G92" s="1145">
        <v>6911</v>
      </c>
      <c r="H92" s="1148"/>
      <c r="I92" s="1149"/>
      <c r="J92" s="365"/>
      <c r="K92" s="177"/>
      <c r="L92" s="178"/>
      <c r="M92" s="179"/>
      <c r="N92" s="690" t="s">
        <v>2966</v>
      </c>
      <c r="O92" s="203" t="s">
        <v>2966</v>
      </c>
      <c r="P92" s="180" t="s">
        <v>120</v>
      </c>
      <c r="Q92" s="181">
        <v>2</v>
      </c>
      <c r="R92" s="43" t="s">
        <v>449</v>
      </c>
      <c r="S92" s="201">
        <v>50</v>
      </c>
      <c r="T92" s="354"/>
      <c r="U92" s="347"/>
      <c r="V92" s="347"/>
      <c r="W92" s="355"/>
      <c r="X92" s="364"/>
      <c r="Y92" s="374"/>
      <c r="Z92" s="354"/>
      <c r="AA92" s="347"/>
      <c r="AB92" s="347"/>
      <c r="AC92" s="355"/>
      <c r="AD92" s="347"/>
      <c r="AE92" s="374"/>
      <c r="AF92" s="354"/>
      <c r="AG92" s="347"/>
      <c r="AH92" s="347"/>
      <c r="AI92" s="355"/>
      <c r="AJ92" s="347"/>
      <c r="AK92" s="374"/>
      <c r="AL92" s="354"/>
      <c r="AM92" s="347"/>
      <c r="AN92" s="347"/>
      <c r="AO92" s="355"/>
      <c r="AP92" s="347"/>
      <c r="AQ92" s="374"/>
      <c r="AR92" s="176"/>
    </row>
    <row r="93" spans="1:44" ht="56.25">
      <c r="A93" s="1125"/>
      <c r="B93" s="1139"/>
      <c r="C93" s="1129"/>
      <c r="D93" s="1144"/>
      <c r="E93" s="1144"/>
      <c r="F93" s="1144"/>
      <c r="G93" s="1147"/>
      <c r="H93" s="377"/>
      <c r="I93" s="363"/>
      <c r="J93" s="365"/>
      <c r="K93" s="177"/>
      <c r="L93" s="178"/>
      <c r="M93" s="179"/>
      <c r="N93" s="690" t="s">
        <v>2966</v>
      </c>
      <c r="O93" s="203" t="s">
        <v>2966</v>
      </c>
      <c r="P93" s="180" t="s">
        <v>93</v>
      </c>
      <c r="Q93" s="68">
        <v>4</v>
      </c>
      <c r="R93" s="43" t="s">
        <v>449</v>
      </c>
      <c r="S93" s="201">
        <v>50</v>
      </c>
      <c r="T93" s="354"/>
      <c r="U93" s="347"/>
      <c r="V93" s="347"/>
      <c r="W93" s="355"/>
      <c r="X93" s="364"/>
      <c r="Y93" s="374"/>
      <c r="Z93" s="354"/>
      <c r="AA93" s="347"/>
      <c r="AB93" s="347"/>
      <c r="AC93" s="355"/>
      <c r="AD93" s="347"/>
      <c r="AE93" s="374"/>
      <c r="AF93" s="354"/>
      <c r="AG93" s="347"/>
      <c r="AH93" s="347"/>
      <c r="AI93" s="355"/>
      <c r="AJ93" s="347"/>
      <c r="AK93" s="374"/>
      <c r="AL93" s="354"/>
      <c r="AM93" s="347"/>
      <c r="AN93" s="347"/>
      <c r="AO93" s="355"/>
      <c r="AP93" s="347"/>
      <c r="AQ93" s="374"/>
      <c r="AR93" s="176"/>
    </row>
    <row r="94" spans="1:44" ht="56.25">
      <c r="A94" s="354">
        <v>39</v>
      </c>
      <c r="B94" s="337" t="s">
        <v>1241</v>
      </c>
      <c r="C94" s="380" t="s">
        <v>1242</v>
      </c>
      <c r="D94" s="371">
        <v>1.85</v>
      </c>
      <c r="E94" s="371">
        <v>14000</v>
      </c>
      <c r="F94" s="371">
        <v>1.85</v>
      </c>
      <c r="G94" s="368">
        <v>14000</v>
      </c>
      <c r="H94" s="363"/>
      <c r="I94" s="364"/>
      <c r="J94" s="365"/>
      <c r="K94" s="177"/>
      <c r="L94" s="178"/>
      <c r="M94" s="366"/>
      <c r="N94" s="691"/>
      <c r="O94" s="203"/>
      <c r="P94" s="180"/>
      <c r="Q94" s="68"/>
      <c r="R94" s="43"/>
      <c r="S94" s="182"/>
      <c r="T94" s="354"/>
      <c r="U94" s="347"/>
      <c r="V94" s="347"/>
      <c r="W94" s="355"/>
      <c r="X94" s="364"/>
      <c r="Y94" s="374"/>
      <c r="Z94" s="354"/>
      <c r="AA94" s="347"/>
      <c r="AB94" s="347"/>
      <c r="AC94" s="355"/>
      <c r="AD94" s="347"/>
      <c r="AE94" s="374"/>
      <c r="AF94" s="354"/>
      <c r="AG94" s="347"/>
      <c r="AH94" s="180" t="s">
        <v>93</v>
      </c>
      <c r="AI94" s="68">
        <v>4</v>
      </c>
      <c r="AJ94" s="43" t="s">
        <v>449</v>
      </c>
      <c r="AK94" s="182">
        <v>50</v>
      </c>
      <c r="AL94" s="354"/>
      <c r="AM94" s="347"/>
      <c r="AN94" s="347"/>
      <c r="AO94" s="355"/>
      <c r="AP94" s="347"/>
      <c r="AQ94" s="374"/>
      <c r="AR94" s="176"/>
    </row>
    <row r="95" spans="1:44" ht="56.25">
      <c r="A95" s="354">
        <v>40</v>
      </c>
      <c r="B95" s="337" t="s">
        <v>1243</v>
      </c>
      <c r="C95" s="380" t="s">
        <v>1244</v>
      </c>
      <c r="D95" s="371">
        <v>1.73</v>
      </c>
      <c r="E95" s="371">
        <v>7017</v>
      </c>
      <c r="F95" s="371">
        <v>1.73</v>
      </c>
      <c r="G95" s="368">
        <v>7017</v>
      </c>
      <c r="H95" s="363"/>
      <c r="I95" s="364"/>
      <c r="J95" s="365"/>
      <c r="K95" s="177"/>
      <c r="L95" s="178"/>
      <c r="M95" s="366"/>
      <c r="N95" s="689"/>
      <c r="O95" s="569"/>
      <c r="P95" s="569"/>
      <c r="Q95" s="181"/>
      <c r="R95" s="569"/>
      <c r="S95" s="374"/>
      <c r="T95" s="354"/>
      <c r="U95" s="347"/>
      <c r="V95" s="347"/>
      <c r="W95" s="355"/>
      <c r="X95" s="364"/>
      <c r="Y95" s="374"/>
      <c r="Z95" s="354"/>
      <c r="AA95" s="347"/>
      <c r="AB95" s="347"/>
      <c r="AC95" s="355"/>
      <c r="AD95" s="347"/>
      <c r="AE95" s="374"/>
      <c r="AF95" s="354"/>
      <c r="AG95" s="347"/>
      <c r="AH95" s="180" t="s">
        <v>93</v>
      </c>
      <c r="AI95" s="68">
        <v>4</v>
      </c>
      <c r="AJ95" s="43" t="s">
        <v>449</v>
      </c>
      <c r="AK95" s="182">
        <v>50</v>
      </c>
      <c r="AL95" s="354"/>
      <c r="AM95" s="347"/>
      <c r="AN95" s="347"/>
      <c r="AO95" s="355"/>
      <c r="AP95" s="347"/>
      <c r="AQ95" s="374"/>
      <c r="AR95" s="176"/>
    </row>
    <row r="96" spans="1:44" ht="56.25">
      <c r="A96" s="354">
        <v>41</v>
      </c>
      <c r="B96" s="337" t="s">
        <v>1245</v>
      </c>
      <c r="C96" s="380" t="s">
        <v>1246</v>
      </c>
      <c r="D96" s="371">
        <v>0.78100000000000003</v>
      </c>
      <c r="E96" s="371">
        <v>3280</v>
      </c>
      <c r="F96" s="371">
        <v>0.78100000000000003</v>
      </c>
      <c r="G96" s="371">
        <v>3280</v>
      </c>
      <c r="H96" s="363"/>
      <c r="I96" s="364"/>
      <c r="J96" s="365"/>
      <c r="K96" s="177"/>
      <c r="L96" s="178"/>
      <c r="M96" s="366"/>
      <c r="N96" s="689"/>
      <c r="O96" s="569"/>
      <c r="P96" s="569"/>
      <c r="Q96" s="181"/>
      <c r="R96" s="569"/>
      <c r="S96" s="374"/>
      <c r="T96" s="354"/>
      <c r="U96" s="347"/>
      <c r="V96" s="347"/>
      <c r="W96" s="355"/>
      <c r="X96" s="364"/>
      <c r="Y96" s="374"/>
      <c r="Z96" s="354"/>
      <c r="AA96" s="347"/>
      <c r="AB96" s="347"/>
      <c r="AC96" s="355"/>
      <c r="AD96" s="347"/>
      <c r="AE96" s="374"/>
      <c r="AF96" s="354"/>
      <c r="AG96" s="347"/>
      <c r="AH96" s="347"/>
      <c r="AI96" s="355"/>
      <c r="AJ96" s="347"/>
      <c r="AK96" s="374"/>
      <c r="AL96" s="354"/>
      <c r="AM96" s="347"/>
      <c r="AN96" s="180" t="s">
        <v>93</v>
      </c>
      <c r="AO96" s="68">
        <v>4</v>
      </c>
      <c r="AP96" s="43" t="s">
        <v>449</v>
      </c>
      <c r="AQ96" s="182">
        <v>50</v>
      </c>
      <c r="AR96" s="176"/>
    </row>
    <row r="97" spans="1:44" ht="56.25">
      <c r="A97" s="1124">
        <v>42</v>
      </c>
      <c r="B97" s="1137" t="s">
        <v>1247</v>
      </c>
      <c r="C97" s="1128" t="s">
        <v>1248</v>
      </c>
      <c r="D97" s="1130">
        <v>3.3</v>
      </c>
      <c r="E97" s="1130">
        <v>36100</v>
      </c>
      <c r="F97" s="1130">
        <v>3.3</v>
      </c>
      <c r="G97" s="1145">
        <v>36100</v>
      </c>
      <c r="H97" s="363"/>
      <c r="I97" s="364"/>
      <c r="J97" s="365"/>
      <c r="K97" s="177"/>
      <c r="L97" s="178"/>
      <c r="M97" s="179"/>
      <c r="N97" s="690" t="s">
        <v>2967</v>
      </c>
      <c r="O97" s="203" t="s">
        <v>2967</v>
      </c>
      <c r="P97" s="180" t="s">
        <v>120</v>
      </c>
      <c r="Q97" s="181">
        <v>2</v>
      </c>
      <c r="R97" s="43" t="s">
        <v>449</v>
      </c>
      <c r="S97" s="201">
        <v>50</v>
      </c>
      <c r="T97" s="1161"/>
      <c r="U97" s="1162"/>
      <c r="V97" s="359"/>
      <c r="W97" s="360"/>
      <c r="X97" s="186"/>
      <c r="Y97" s="188"/>
      <c r="Z97" s="354"/>
      <c r="AA97" s="347"/>
      <c r="AB97" s="347"/>
      <c r="AC97" s="355"/>
      <c r="AD97" s="347"/>
      <c r="AE97" s="374"/>
      <c r="AF97" s="354"/>
      <c r="AG97" s="347"/>
      <c r="AH97" s="347"/>
      <c r="AI97" s="355"/>
      <c r="AJ97" s="347"/>
      <c r="AK97" s="374"/>
      <c r="AL97" s="354"/>
      <c r="AM97" s="347"/>
      <c r="AN97" s="347"/>
      <c r="AO97" s="355"/>
      <c r="AP97" s="347"/>
      <c r="AQ97" s="374"/>
      <c r="AR97" s="176"/>
    </row>
    <row r="98" spans="1:44" ht="56.25">
      <c r="A98" s="1136"/>
      <c r="B98" s="1138"/>
      <c r="C98" s="1168"/>
      <c r="D98" s="1143"/>
      <c r="E98" s="1143"/>
      <c r="F98" s="1143"/>
      <c r="G98" s="1146"/>
      <c r="H98" s="363"/>
      <c r="I98" s="364"/>
      <c r="J98" s="365"/>
      <c r="K98" s="177"/>
      <c r="L98" s="178"/>
      <c r="M98" s="179"/>
      <c r="N98" s="690" t="s">
        <v>2967</v>
      </c>
      <c r="O98" s="203" t="s">
        <v>2967</v>
      </c>
      <c r="P98" s="180" t="s">
        <v>93</v>
      </c>
      <c r="Q98" s="68">
        <v>4</v>
      </c>
      <c r="R98" s="43" t="s">
        <v>449</v>
      </c>
      <c r="S98" s="201">
        <v>50</v>
      </c>
      <c r="T98" s="375"/>
      <c r="U98" s="376"/>
      <c r="V98" s="359"/>
      <c r="W98" s="360"/>
      <c r="X98" s="186"/>
      <c r="Y98" s="188"/>
      <c r="Z98" s="354"/>
      <c r="AA98" s="347"/>
      <c r="AB98" s="347"/>
      <c r="AC98" s="355"/>
      <c r="AD98" s="347"/>
      <c r="AE98" s="374"/>
      <c r="AF98" s="354"/>
      <c r="AG98" s="347"/>
      <c r="AH98" s="347"/>
      <c r="AI98" s="355"/>
      <c r="AJ98" s="347"/>
      <c r="AK98" s="374"/>
      <c r="AL98" s="354"/>
      <c r="AM98" s="347"/>
      <c r="AN98" s="347"/>
      <c r="AO98" s="355"/>
      <c r="AP98" s="347"/>
      <c r="AQ98" s="374"/>
      <c r="AR98" s="176"/>
    </row>
    <row r="99" spans="1:44" ht="56.25">
      <c r="A99" s="1136"/>
      <c r="B99" s="1138"/>
      <c r="C99" s="1168"/>
      <c r="D99" s="1143"/>
      <c r="E99" s="1143"/>
      <c r="F99" s="1143"/>
      <c r="G99" s="1146"/>
      <c r="H99" s="363"/>
      <c r="I99" s="364"/>
      <c r="J99" s="365"/>
      <c r="K99" s="177"/>
      <c r="L99" s="178"/>
      <c r="M99" s="179"/>
      <c r="N99" s="690" t="s">
        <v>1249</v>
      </c>
      <c r="O99" s="203" t="s">
        <v>1249</v>
      </c>
      <c r="P99" s="180" t="s">
        <v>120</v>
      </c>
      <c r="Q99" s="181">
        <v>2</v>
      </c>
      <c r="R99" s="43" t="s">
        <v>449</v>
      </c>
      <c r="S99" s="201">
        <v>50</v>
      </c>
      <c r="T99" s="375"/>
      <c r="U99" s="376"/>
      <c r="V99" s="359"/>
      <c r="W99" s="360"/>
      <c r="X99" s="186"/>
      <c r="Y99" s="188"/>
      <c r="Z99" s="354"/>
      <c r="AA99" s="347"/>
      <c r="AB99" s="347"/>
      <c r="AC99" s="355"/>
      <c r="AD99" s="347"/>
      <c r="AE99" s="374"/>
      <c r="AF99" s="354"/>
      <c r="AG99" s="347"/>
      <c r="AH99" s="347"/>
      <c r="AI99" s="355"/>
      <c r="AJ99" s="347"/>
      <c r="AK99" s="374"/>
      <c r="AL99" s="354"/>
      <c r="AM99" s="347"/>
      <c r="AN99" s="347"/>
      <c r="AO99" s="355"/>
      <c r="AP99" s="347"/>
      <c r="AQ99" s="374"/>
      <c r="AR99" s="176"/>
    </row>
    <row r="100" spans="1:44" ht="56.25">
      <c r="A100" s="1125"/>
      <c r="B100" s="1139"/>
      <c r="C100" s="1129"/>
      <c r="D100" s="1144"/>
      <c r="E100" s="1144"/>
      <c r="F100" s="1144"/>
      <c r="G100" s="1147"/>
      <c r="H100" s="363"/>
      <c r="I100" s="364"/>
      <c r="J100" s="365"/>
      <c r="K100" s="177"/>
      <c r="L100" s="178"/>
      <c r="M100" s="179"/>
      <c r="N100" s="690" t="s">
        <v>1249</v>
      </c>
      <c r="O100" s="203" t="s">
        <v>1249</v>
      </c>
      <c r="P100" s="180" t="s">
        <v>93</v>
      </c>
      <c r="Q100" s="68">
        <v>4</v>
      </c>
      <c r="R100" s="43" t="s">
        <v>449</v>
      </c>
      <c r="S100" s="201">
        <v>50</v>
      </c>
      <c r="T100" s="375"/>
      <c r="U100" s="376"/>
      <c r="V100" s="359"/>
      <c r="W100" s="360"/>
      <c r="X100" s="186"/>
      <c r="Y100" s="188"/>
      <c r="Z100" s="354"/>
      <c r="AA100" s="347"/>
      <c r="AB100" s="347"/>
      <c r="AC100" s="355"/>
      <c r="AD100" s="347"/>
      <c r="AE100" s="374"/>
      <c r="AF100" s="354"/>
      <c r="AG100" s="347"/>
      <c r="AH100" s="347"/>
      <c r="AI100" s="355"/>
      <c r="AJ100" s="347"/>
      <c r="AK100" s="374"/>
      <c r="AL100" s="354"/>
      <c r="AM100" s="347"/>
      <c r="AN100" s="347"/>
      <c r="AO100" s="355"/>
      <c r="AP100" s="347"/>
      <c r="AQ100" s="374"/>
      <c r="AR100" s="176"/>
    </row>
    <row r="101" spans="1:44" ht="56.25">
      <c r="A101" s="354">
        <v>43</v>
      </c>
      <c r="B101" s="337" t="s">
        <v>1250</v>
      </c>
      <c r="C101" s="370" t="s">
        <v>1251</v>
      </c>
      <c r="D101" s="371">
        <v>0.7</v>
      </c>
      <c r="E101" s="371">
        <v>6705</v>
      </c>
      <c r="F101" s="371">
        <v>0.7</v>
      </c>
      <c r="G101" s="371">
        <v>6705</v>
      </c>
      <c r="H101" s="363"/>
      <c r="I101" s="364"/>
      <c r="J101" s="365"/>
      <c r="K101" s="177"/>
      <c r="L101" s="178"/>
      <c r="M101" s="366"/>
      <c r="N101" s="689"/>
      <c r="O101" s="569"/>
      <c r="P101" s="569"/>
      <c r="Q101" s="181"/>
      <c r="R101" s="569"/>
      <c r="S101" s="374"/>
      <c r="T101" s="354"/>
      <c r="U101" s="347"/>
      <c r="V101" s="347"/>
      <c r="W101" s="355"/>
      <c r="X101" s="364"/>
      <c r="Y101" s="374"/>
      <c r="Z101" s="354"/>
      <c r="AA101" s="347"/>
      <c r="AB101" s="347"/>
      <c r="AC101" s="355"/>
      <c r="AD101" s="347"/>
      <c r="AE101" s="374"/>
      <c r="AF101" s="354"/>
      <c r="AG101" s="347"/>
      <c r="AH101" s="347"/>
      <c r="AI101" s="355"/>
      <c r="AJ101" s="347"/>
      <c r="AK101" s="374"/>
      <c r="AL101" s="354"/>
      <c r="AM101" s="347"/>
      <c r="AN101" s="180" t="s">
        <v>93</v>
      </c>
      <c r="AO101" s="68">
        <v>4</v>
      </c>
      <c r="AP101" s="43" t="s">
        <v>449</v>
      </c>
      <c r="AQ101" s="182">
        <v>50</v>
      </c>
      <c r="AR101" s="176"/>
    </row>
    <row r="102" spans="1:44" ht="56.25">
      <c r="A102" s="1124">
        <v>44</v>
      </c>
      <c r="B102" s="1137" t="s">
        <v>1252</v>
      </c>
      <c r="C102" s="1128" t="s">
        <v>1253</v>
      </c>
      <c r="D102" s="1130">
        <v>4.8319999999999999</v>
      </c>
      <c r="E102" s="1130">
        <v>53152</v>
      </c>
      <c r="F102" s="1130">
        <v>4.8319999999999999</v>
      </c>
      <c r="G102" s="1145">
        <v>53152</v>
      </c>
      <c r="H102" s="363"/>
      <c r="I102" s="364"/>
      <c r="J102" s="365"/>
      <c r="K102" s="177"/>
      <c r="L102" s="178"/>
      <c r="M102" s="179"/>
      <c r="N102" s="690" t="s">
        <v>2968</v>
      </c>
      <c r="O102" s="203" t="s">
        <v>2968</v>
      </c>
      <c r="P102" s="180" t="s">
        <v>120</v>
      </c>
      <c r="Q102" s="181">
        <v>2</v>
      </c>
      <c r="R102" s="43" t="s">
        <v>449</v>
      </c>
      <c r="S102" s="201">
        <v>50</v>
      </c>
      <c r="T102" s="354"/>
      <c r="U102" s="347"/>
      <c r="V102" s="347"/>
      <c r="W102" s="355"/>
      <c r="X102" s="364"/>
      <c r="Y102" s="374"/>
      <c r="Z102" s="354"/>
      <c r="AA102" s="347"/>
      <c r="AB102" s="347"/>
      <c r="AC102" s="355"/>
      <c r="AD102" s="347"/>
      <c r="AE102" s="374"/>
      <c r="AF102" s="354"/>
      <c r="AG102" s="347"/>
      <c r="AH102" s="347"/>
      <c r="AI102" s="355"/>
      <c r="AJ102" s="347"/>
      <c r="AK102" s="374"/>
      <c r="AL102" s="354"/>
      <c r="AM102" s="347"/>
      <c r="AN102" s="347"/>
      <c r="AO102" s="355"/>
      <c r="AP102" s="347"/>
      <c r="AQ102" s="374"/>
      <c r="AR102" s="176"/>
    </row>
    <row r="103" spans="1:44" ht="56.25">
      <c r="A103" s="1125"/>
      <c r="B103" s="1139"/>
      <c r="C103" s="1129"/>
      <c r="D103" s="1144"/>
      <c r="E103" s="1144"/>
      <c r="F103" s="1144"/>
      <c r="G103" s="1147"/>
      <c r="H103" s="363"/>
      <c r="I103" s="364"/>
      <c r="J103" s="365"/>
      <c r="K103" s="177"/>
      <c r="L103" s="178"/>
      <c r="M103" s="179"/>
      <c r="N103" s="690" t="s">
        <v>2968</v>
      </c>
      <c r="O103" s="203" t="s">
        <v>2968</v>
      </c>
      <c r="P103" s="180" t="s">
        <v>93</v>
      </c>
      <c r="Q103" s="68">
        <v>4</v>
      </c>
      <c r="R103" s="43" t="s">
        <v>449</v>
      </c>
      <c r="S103" s="201">
        <v>50</v>
      </c>
      <c r="T103" s="354"/>
      <c r="U103" s="347"/>
      <c r="V103" s="347"/>
      <c r="W103" s="355"/>
      <c r="X103" s="364"/>
      <c r="Y103" s="374"/>
      <c r="Z103" s="354"/>
      <c r="AA103" s="347"/>
      <c r="AB103" s="347"/>
      <c r="AC103" s="355"/>
      <c r="AD103" s="347"/>
      <c r="AE103" s="374"/>
      <c r="AF103" s="354"/>
      <c r="AG103" s="347"/>
      <c r="AH103" s="347"/>
      <c r="AI103" s="355"/>
      <c r="AJ103" s="347"/>
      <c r="AK103" s="374"/>
      <c r="AL103" s="354"/>
      <c r="AM103" s="347"/>
      <c r="AN103" s="347"/>
      <c r="AO103" s="355"/>
      <c r="AP103" s="347"/>
      <c r="AQ103" s="374"/>
      <c r="AR103" s="176"/>
    </row>
    <row r="104" spans="1:44" ht="56.25">
      <c r="A104" s="354">
        <v>45</v>
      </c>
      <c r="B104" s="337" t="s">
        <v>1254</v>
      </c>
      <c r="C104" s="370" t="s">
        <v>1255</v>
      </c>
      <c r="D104" s="371">
        <v>1.0680000000000001</v>
      </c>
      <c r="E104" s="371">
        <v>16020</v>
      </c>
      <c r="F104" s="371">
        <v>1.0680000000000001</v>
      </c>
      <c r="G104" s="368">
        <v>16020</v>
      </c>
      <c r="H104" s="363"/>
      <c r="I104" s="364"/>
      <c r="J104" s="365"/>
      <c r="K104" s="177"/>
      <c r="L104" s="178"/>
      <c r="M104" s="366"/>
      <c r="N104" s="689"/>
      <c r="O104" s="569"/>
      <c r="P104" s="569"/>
      <c r="Q104" s="181"/>
      <c r="R104" s="569"/>
      <c r="S104" s="374"/>
      <c r="T104" s="354"/>
      <c r="U104" s="347"/>
      <c r="V104" s="347"/>
      <c r="W104" s="355"/>
      <c r="X104" s="364"/>
      <c r="Y104" s="374"/>
      <c r="Z104" s="354"/>
      <c r="AA104" s="347"/>
      <c r="AB104" s="347"/>
      <c r="AC104" s="355"/>
      <c r="AD104" s="347"/>
      <c r="AE104" s="374"/>
      <c r="AF104" s="354"/>
      <c r="AG104" s="347"/>
      <c r="AH104" s="180" t="s">
        <v>93</v>
      </c>
      <c r="AI104" s="68">
        <v>4</v>
      </c>
      <c r="AJ104" s="43" t="s">
        <v>449</v>
      </c>
      <c r="AK104" s="182">
        <v>50</v>
      </c>
      <c r="AL104" s="354"/>
      <c r="AM104" s="347"/>
      <c r="AN104" s="347"/>
      <c r="AO104" s="355"/>
      <c r="AP104" s="347"/>
      <c r="AQ104" s="374"/>
      <c r="AR104" s="176"/>
    </row>
    <row r="105" spans="1:44" ht="18.75">
      <c r="A105" s="1124">
        <v>46</v>
      </c>
      <c r="B105" s="1126">
        <v>742138</v>
      </c>
      <c r="C105" s="1140" t="s">
        <v>1256</v>
      </c>
      <c r="D105" s="1130">
        <v>4.4000000000000004</v>
      </c>
      <c r="E105" s="1130">
        <v>26400</v>
      </c>
      <c r="F105" s="1130">
        <v>4.4000000000000004</v>
      </c>
      <c r="G105" s="1145">
        <v>26400</v>
      </c>
      <c r="H105" s="1116" t="s">
        <v>60</v>
      </c>
      <c r="I105" s="1110" t="s">
        <v>2612</v>
      </c>
      <c r="J105" s="1020" t="s">
        <v>114</v>
      </c>
      <c r="K105" s="93">
        <v>1.167</v>
      </c>
      <c r="L105" s="358" t="s">
        <v>17</v>
      </c>
      <c r="M105" s="1160">
        <v>7821.9732999999997</v>
      </c>
      <c r="N105" s="1190" t="s">
        <v>60</v>
      </c>
      <c r="O105" s="1110" t="s">
        <v>2697</v>
      </c>
      <c r="P105" s="1020" t="s">
        <v>114</v>
      </c>
      <c r="Q105" s="93">
        <v>0.3</v>
      </c>
      <c r="R105" s="553" t="s">
        <v>17</v>
      </c>
      <c r="S105" s="1189">
        <v>1500</v>
      </c>
      <c r="T105" s="354"/>
      <c r="U105" s="347"/>
      <c r="V105" s="347"/>
      <c r="W105" s="355"/>
      <c r="X105" s="347"/>
      <c r="Y105" s="374"/>
      <c r="Z105" s="354"/>
      <c r="AA105" s="347"/>
      <c r="AB105" s="347"/>
      <c r="AC105" s="355"/>
      <c r="AD105" s="347"/>
      <c r="AE105" s="374"/>
      <c r="AF105" s="354"/>
      <c r="AG105" s="347"/>
      <c r="AH105" s="347"/>
      <c r="AI105" s="355"/>
      <c r="AJ105" s="347"/>
      <c r="AK105" s="374"/>
      <c r="AL105" s="354"/>
      <c r="AM105" s="347"/>
      <c r="AN105" s="347"/>
      <c r="AO105" s="355"/>
      <c r="AP105" s="347"/>
      <c r="AQ105" s="374"/>
      <c r="AR105" s="176"/>
    </row>
    <row r="106" spans="1:44" ht="18.75">
      <c r="A106" s="1136"/>
      <c r="B106" s="1167"/>
      <c r="C106" s="1141"/>
      <c r="D106" s="1143"/>
      <c r="E106" s="1143"/>
      <c r="F106" s="1143"/>
      <c r="G106" s="1146"/>
      <c r="H106" s="1116"/>
      <c r="I106" s="1110"/>
      <c r="J106" s="1020"/>
      <c r="K106" s="68">
        <v>7601</v>
      </c>
      <c r="L106" s="43" t="s">
        <v>32</v>
      </c>
      <c r="M106" s="1160"/>
      <c r="N106" s="1190"/>
      <c r="O106" s="1110"/>
      <c r="P106" s="1020"/>
      <c r="Q106" s="68">
        <f>Q105*G105/F105</f>
        <v>1799.9999999999998</v>
      </c>
      <c r="R106" s="43" t="s">
        <v>32</v>
      </c>
      <c r="S106" s="1189"/>
      <c r="T106" s="354"/>
      <c r="U106" s="347"/>
      <c r="V106" s="347"/>
      <c r="W106" s="355"/>
      <c r="X106" s="347"/>
      <c r="Y106" s="374"/>
      <c r="Z106" s="354"/>
      <c r="AA106" s="347"/>
      <c r="AB106" s="347"/>
      <c r="AC106" s="355"/>
      <c r="AD106" s="347"/>
      <c r="AE106" s="374"/>
      <c r="AF106" s="354"/>
      <c r="AG106" s="347"/>
      <c r="AH106" s="347"/>
      <c r="AI106" s="355"/>
      <c r="AJ106" s="347"/>
      <c r="AK106" s="374"/>
      <c r="AL106" s="354"/>
      <c r="AM106" s="347"/>
      <c r="AN106" s="347"/>
      <c r="AO106" s="355"/>
      <c r="AP106" s="347"/>
      <c r="AQ106" s="374"/>
      <c r="AR106" s="176"/>
    </row>
    <row r="107" spans="1:44" ht="18.75" customHeight="1">
      <c r="A107" s="1136"/>
      <c r="B107" s="1167"/>
      <c r="C107" s="1141"/>
      <c r="D107" s="1143"/>
      <c r="E107" s="1143"/>
      <c r="F107" s="1143"/>
      <c r="G107" s="1146"/>
      <c r="H107" s="373"/>
      <c r="I107" s="364"/>
      <c r="J107" s="365"/>
      <c r="K107" s="68"/>
      <c r="L107" s="43"/>
      <c r="M107" s="366"/>
      <c r="N107" s="1186" t="s">
        <v>2697</v>
      </c>
      <c r="O107" s="1061" t="s">
        <v>2733</v>
      </c>
      <c r="P107" s="1020" t="s">
        <v>114</v>
      </c>
      <c r="Q107" s="93">
        <v>0.6</v>
      </c>
      <c r="R107" s="553" t="s">
        <v>17</v>
      </c>
      <c r="S107" s="1189">
        <v>8600</v>
      </c>
      <c r="T107" s="354"/>
      <c r="U107" s="347"/>
      <c r="V107" s="347"/>
      <c r="W107" s="355"/>
      <c r="X107" s="347"/>
      <c r="Y107" s="374"/>
      <c r="Z107" s="354"/>
      <c r="AA107" s="347"/>
      <c r="AB107" s="347"/>
      <c r="AC107" s="355"/>
      <c r="AD107" s="347"/>
      <c r="AE107" s="374"/>
      <c r="AF107" s="354"/>
      <c r="AG107" s="347"/>
      <c r="AH107" s="347"/>
      <c r="AI107" s="355"/>
      <c r="AJ107" s="347"/>
      <c r="AK107" s="374"/>
      <c r="AL107" s="354"/>
      <c r="AM107" s="347"/>
      <c r="AN107" s="347"/>
      <c r="AO107" s="355"/>
      <c r="AP107" s="347"/>
      <c r="AQ107" s="374"/>
      <c r="AR107" s="176"/>
    </row>
    <row r="108" spans="1:44" ht="18.75">
      <c r="A108" s="1136"/>
      <c r="B108" s="1167"/>
      <c r="C108" s="1141"/>
      <c r="D108" s="1143"/>
      <c r="E108" s="1143"/>
      <c r="F108" s="1143"/>
      <c r="G108" s="1146"/>
      <c r="H108" s="373"/>
      <c r="I108" s="364"/>
      <c r="J108" s="365"/>
      <c r="K108" s="68"/>
      <c r="L108" s="43"/>
      <c r="M108" s="366"/>
      <c r="N108" s="1187"/>
      <c r="O108" s="1061"/>
      <c r="P108" s="1020"/>
      <c r="Q108" s="68">
        <f>Q107*G105/F105</f>
        <v>3599.9999999999995</v>
      </c>
      <c r="R108" s="43" t="s">
        <v>32</v>
      </c>
      <c r="S108" s="1189"/>
      <c r="T108" s="354"/>
      <c r="U108" s="347"/>
      <c r="V108" s="347"/>
      <c r="W108" s="355"/>
      <c r="X108" s="347"/>
      <c r="Y108" s="374"/>
      <c r="Z108" s="354"/>
      <c r="AA108" s="347"/>
      <c r="AB108" s="347"/>
      <c r="AC108" s="355"/>
      <c r="AD108" s="347"/>
      <c r="AE108" s="374"/>
      <c r="AF108" s="354"/>
      <c r="AG108" s="347"/>
      <c r="AH108" s="347"/>
      <c r="AI108" s="355"/>
      <c r="AJ108" s="347"/>
      <c r="AK108" s="374"/>
      <c r="AL108" s="354"/>
      <c r="AM108" s="347"/>
      <c r="AN108" s="347"/>
      <c r="AO108" s="355"/>
      <c r="AP108" s="347"/>
      <c r="AQ108" s="374"/>
      <c r="AR108" s="176"/>
    </row>
    <row r="109" spans="1:44" ht="18.75" customHeight="1">
      <c r="A109" s="1136"/>
      <c r="B109" s="1167"/>
      <c r="C109" s="1141"/>
      <c r="D109" s="1143"/>
      <c r="E109" s="1143"/>
      <c r="F109" s="1143"/>
      <c r="G109" s="1146"/>
      <c r="H109" s="373"/>
      <c r="I109" s="364"/>
      <c r="J109" s="365"/>
      <c r="K109" s="68"/>
      <c r="L109" s="43"/>
      <c r="M109" s="366"/>
      <c r="N109" s="1186" t="s">
        <v>2733</v>
      </c>
      <c r="O109" s="1061" t="s">
        <v>2730</v>
      </c>
      <c r="P109" s="1020" t="s">
        <v>114</v>
      </c>
      <c r="Q109" s="93">
        <v>0.6</v>
      </c>
      <c r="R109" s="553" t="s">
        <v>17</v>
      </c>
      <c r="S109" s="1189">
        <v>11200</v>
      </c>
      <c r="T109" s="354"/>
      <c r="U109" s="347"/>
      <c r="V109" s="347"/>
      <c r="W109" s="355"/>
      <c r="X109" s="347"/>
      <c r="Y109" s="374"/>
      <c r="Z109" s="354"/>
      <c r="AA109" s="347"/>
      <c r="AB109" s="347"/>
      <c r="AC109" s="355"/>
      <c r="AD109" s="347"/>
      <c r="AE109" s="374"/>
      <c r="AF109" s="354"/>
      <c r="AG109" s="347"/>
      <c r="AH109" s="347"/>
      <c r="AI109" s="355"/>
      <c r="AJ109" s="347"/>
      <c r="AK109" s="374"/>
      <c r="AL109" s="354"/>
      <c r="AM109" s="347"/>
      <c r="AN109" s="347"/>
      <c r="AO109" s="355"/>
      <c r="AP109" s="347"/>
      <c r="AQ109" s="374"/>
      <c r="AR109" s="176"/>
    </row>
    <row r="110" spans="1:44" ht="18.75">
      <c r="A110" s="1125"/>
      <c r="B110" s="1127"/>
      <c r="C110" s="1142"/>
      <c r="D110" s="1144"/>
      <c r="E110" s="1144"/>
      <c r="F110" s="1144"/>
      <c r="G110" s="1147"/>
      <c r="H110" s="373"/>
      <c r="I110" s="364"/>
      <c r="J110" s="365"/>
      <c r="K110" s="68"/>
      <c r="L110" s="43"/>
      <c r="M110" s="366"/>
      <c r="N110" s="1187"/>
      <c r="O110" s="1061"/>
      <c r="P110" s="1020"/>
      <c r="Q110" s="68">
        <f>Q109*G105/F105</f>
        <v>3599.9999999999995</v>
      </c>
      <c r="R110" s="43" t="s">
        <v>32</v>
      </c>
      <c r="S110" s="1189"/>
      <c r="T110" s="354"/>
      <c r="U110" s="347"/>
      <c r="V110" s="347"/>
      <c r="W110" s="355"/>
      <c r="X110" s="347"/>
      <c r="Y110" s="374"/>
      <c r="Z110" s="354"/>
      <c r="AA110" s="347"/>
      <c r="AB110" s="347"/>
      <c r="AC110" s="355"/>
      <c r="AD110" s="347"/>
      <c r="AE110" s="374"/>
      <c r="AF110" s="354"/>
      <c r="AG110" s="347"/>
      <c r="AH110" s="347"/>
      <c r="AI110" s="355"/>
      <c r="AJ110" s="347"/>
      <c r="AK110" s="374"/>
      <c r="AL110" s="354"/>
      <c r="AM110" s="347"/>
      <c r="AN110" s="347"/>
      <c r="AO110" s="355"/>
      <c r="AP110" s="347"/>
      <c r="AQ110" s="374"/>
      <c r="AR110" s="176"/>
    </row>
    <row r="111" spans="1:44" ht="18.75">
      <c r="A111" s="1100">
        <v>47</v>
      </c>
      <c r="B111" s="1102">
        <v>744731</v>
      </c>
      <c r="C111" s="1191" t="s">
        <v>1257</v>
      </c>
      <c r="D111" s="1106">
        <v>0.93500000000000005</v>
      </c>
      <c r="E111" s="1106">
        <f>D111*6000</f>
        <v>5610</v>
      </c>
      <c r="F111" s="1106">
        <v>0.93500000000000005</v>
      </c>
      <c r="G111" s="1108">
        <f>F111*6000</f>
        <v>5610</v>
      </c>
      <c r="H111" s="1149" t="s">
        <v>60</v>
      </c>
      <c r="I111" s="1110" t="s">
        <v>2751</v>
      </c>
      <c r="J111" s="1020" t="s">
        <v>114</v>
      </c>
      <c r="K111" s="93">
        <v>0.9</v>
      </c>
      <c r="L111" s="358" t="s">
        <v>17</v>
      </c>
      <c r="M111" s="1160">
        <v>3462.8984999999998</v>
      </c>
      <c r="N111" s="689"/>
      <c r="O111" s="569"/>
      <c r="P111" s="569"/>
      <c r="Q111" s="181"/>
      <c r="R111" s="569"/>
      <c r="S111" s="374"/>
      <c r="T111" s="354"/>
      <c r="U111" s="347"/>
      <c r="V111" s="347"/>
      <c r="W111" s="355"/>
      <c r="X111" s="347"/>
      <c r="Y111" s="374"/>
      <c r="Z111" s="354"/>
      <c r="AA111" s="347"/>
      <c r="AB111" s="347"/>
      <c r="AC111" s="355"/>
      <c r="AD111" s="347"/>
      <c r="AE111" s="374"/>
      <c r="AF111" s="354"/>
      <c r="AG111" s="347"/>
      <c r="AH111" s="347"/>
      <c r="AI111" s="355"/>
      <c r="AJ111" s="347"/>
      <c r="AK111" s="374"/>
      <c r="AL111" s="354"/>
      <c r="AM111" s="347"/>
      <c r="AN111" s="347"/>
      <c r="AO111" s="355"/>
      <c r="AP111" s="347"/>
      <c r="AQ111" s="374"/>
      <c r="AR111" s="176"/>
    </row>
    <row r="112" spans="1:44" ht="18.75">
      <c r="A112" s="1100"/>
      <c r="B112" s="1102"/>
      <c r="C112" s="1191"/>
      <c r="D112" s="1106"/>
      <c r="E112" s="1106"/>
      <c r="F112" s="1106"/>
      <c r="G112" s="1108"/>
      <c r="H112" s="1149"/>
      <c r="I112" s="1110"/>
      <c r="J112" s="1020"/>
      <c r="K112" s="68">
        <v>3235</v>
      </c>
      <c r="L112" s="43" t="s">
        <v>32</v>
      </c>
      <c r="M112" s="1160"/>
      <c r="N112" s="689"/>
      <c r="O112" s="569"/>
      <c r="P112" s="569"/>
      <c r="Q112" s="181"/>
      <c r="R112" s="569"/>
      <c r="S112" s="374"/>
      <c r="T112" s="354"/>
      <c r="U112" s="347"/>
      <c r="V112" s="347"/>
      <c r="W112" s="355"/>
      <c r="X112" s="347"/>
      <c r="Y112" s="374"/>
      <c r="Z112" s="354"/>
      <c r="AA112" s="347"/>
      <c r="AB112" s="347"/>
      <c r="AC112" s="355"/>
      <c r="AD112" s="347"/>
      <c r="AE112" s="374"/>
      <c r="AF112" s="354"/>
      <c r="AG112" s="347"/>
      <c r="AH112" s="347"/>
      <c r="AI112" s="355"/>
      <c r="AJ112" s="347"/>
      <c r="AK112" s="374"/>
      <c r="AL112" s="354"/>
      <c r="AM112" s="347"/>
      <c r="AN112" s="347"/>
      <c r="AO112" s="355"/>
      <c r="AP112" s="347"/>
      <c r="AQ112" s="374"/>
      <c r="AR112" s="176"/>
    </row>
    <row r="113" spans="1:44" ht="18.75">
      <c r="A113" s="1100">
        <v>48</v>
      </c>
      <c r="B113" s="1102">
        <v>738896</v>
      </c>
      <c r="C113" s="1191" t="s">
        <v>1258</v>
      </c>
      <c r="D113" s="1106">
        <v>0.94299999999999995</v>
      </c>
      <c r="E113" s="1106">
        <v>6601</v>
      </c>
      <c r="F113" s="1106">
        <v>0.94299999999999995</v>
      </c>
      <c r="G113" s="1108">
        <v>6601</v>
      </c>
      <c r="H113" s="363"/>
      <c r="I113" s="364"/>
      <c r="J113" s="365"/>
      <c r="K113" s="68"/>
      <c r="L113" s="43"/>
      <c r="M113" s="366"/>
      <c r="N113" s="1190" t="s">
        <v>60</v>
      </c>
      <c r="O113" s="1110" t="s">
        <v>2969</v>
      </c>
      <c r="P113" s="1020" t="s">
        <v>114</v>
      </c>
      <c r="Q113" s="181">
        <v>0.5</v>
      </c>
      <c r="R113" s="553" t="s">
        <v>17</v>
      </c>
      <c r="S113" s="1114">
        <v>9315</v>
      </c>
      <c r="T113" s="354"/>
      <c r="U113" s="347"/>
      <c r="V113" s="347"/>
      <c r="W113" s="355"/>
      <c r="X113" s="347"/>
      <c r="Y113" s="374"/>
      <c r="Z113" s="354"/>
      <c r="AA113" s="347"/>
      <c r="AB113" s="347"/>
      <c r="AC113" s="355"/>
      <c r="AD113" s="347"/>
      <c r="AE113" s="374"/>
      <c r="AF113" s="354"/>
      <c r="AG113" s="347"/>
      <c r="AH113" s="347"/>
      <c r="AI113" s="355"/>
      <c r="AJ113" s="347"/>
      <c r="AK113" s="374"/>
      <c r="AL113" s="354"/>
      <c r="AM113" s="347"/>
      <c r="AN113" s="347"/>
      <c r="AO113" s="355"/>
      <c r="AP113" s="347"/>
      <c r="AQ113" s="374"/>
      <c r="AR113" s="176"/>
    </row>
    <row r="114" spans="1:44" ht="18.75">
      <c r="A114" s="1100"/>
      <c r="B114" s="1102"/>
      <c r="C114" s="1191"/>
      <c r="D114" s="1106"/>
      <c r="E114" s="1106"/>
      <c r="F114" s="1106"/>
      <c r="G114" s="1108"/>
      <c r="H114" s="363"/>
      <c r="I114" s="364"/>
      <c r="J114" s="365"/>
      <c r="K114" s="68"/>
      <c r="L114" s="43"/>
      <c r="M114" s="366"/>
      <c r="N114" s="1190"/>
      <c r="O114" s="1110"/>
      <c r="P114" s="1020"/>
      <c r="Q114" s="177">
        <f>Q113/F113*G113</f>
        <v>3500</v>
      </c>
      <c r="R114" s="43" t="s">
        <v>32</v>
      </c>
      <c r="S114" s="1114"/>
      <c r="T114" s="354"/>
      <c r="U114" s="347"/>
      <c r="V114" s="347"/>
      <c r="W114" s="355"/>
      <c r="X114" s="347"/>
      <c r="Y114" s="374"/>
      <c r="Z114" s="354"/>
      <c r="AA114" s="347"/>
      <c r="AB114" s="347"/>
      <c r="AC114" s="355"/>
      <c r="AD114" s="347"/>
      <c r="AE114" s="374"/>
      <c r="AF114" s="354"/>
      <c r="AG114" s="347"/>
      <c r="AH114" s="347"/>
      <c r="AI114" s="355"/>
      <c r="AJ114" s="347"/>
      <c r="AK114" s="374"/>
      <c r="AL114" s="354"/>
      <c r="AM114" s="347"/>
      <c r="AN114" s="347"/>
      <c r="AO114" s="355"/>
      <c r="AP114" s="347"/>
      <c r="AQ114" s="374"/>
      <c r="AR114" s="176"/>
    </row>
    <row r="115" spans="1:44" ht="18.75">
      <c r="A115" s="1100">
        <v>49</v>
      </c>
      <c r="B115" s="1102">
        <v>737845</v>
      </c>
      <c r="C115" s="1191" t="s">
        <v>1213</v>
      </c>
      <c r="D115" s="1106">
        <v>1.7789999999999999</v>
      </c>
      <c r="E115" s="1106">
        <v>15956</v>
      </c>
      <c r="F115" s="1106">
        <v>1.7789999999999999</v>
      </c>
      <c r="G115" s="1106">
        <v>15956</v>
      </c>
      <c r="H115" s="363"/>
      <c r="I115" s="364"/>
      <c r="J115" s="365"/>
      <c r="K115" s="68"/>
      <c r="L115" s="43"/>
      <c r="M115" s="366"/>
      <c r="N115" s="22"/>
      <c r="O115" s="12"/>
      <c r="P115" s="12"/>
      <c r="Q115" s="12"/>
      <c r="R115" s="12"/>
      <c r="S115" s="191"/>
      <c r="T115" s="1192" t="s">
        <v>60</v>
      </c>
      <c r="U115" s="1061" t="s">
        <v>2973</v>
      </c>
      <c r="V115" s="1020" t="s">
        <v>114</v>
      </c>
      <c r="W115" s="181">
        <v>1.7789999999999999</v>
      </c>
      <c r="X115" s="358" t="s">
        <v>17</v>
      </c>
      <c r="Y115" s="1183">
        <f>104300+100</f>
        <v>104400</v>
      </c>
      <c r="Z115" s="354"/>
      <c r="AA115" s="347"/>
      <c r="AB115" s="347"/>
      <c r="AC115" s="355"/>
      <c r="AD115" s="347"/>
      <c r="AE115" s="374"/>
      <c r="AF115" s="1193"/>
      <c r="AG115" s="1194"/>
      <c r="AH115" s="359"/>
      <c r="AI115" s="353"/>
      <c r="AJ115" s="349"/>
      <c r="AK115" s="204"/>
      <c r="AL115" s="354"/>
      <c r="AM115" s="347"/>
      <c r="AN115" s="347"/>
      <c r="AO115" s="355"/>
      <c r="AP115" s="347"/>
      <c r="AQ115" s="374"/>
      <c r="AR115" s="176"/>
    </row>
    <row r="116" spans="1:44" ht="18.75">
      <c r="A116" s="1100"/>
      <c r="B116" s="1102"/>
      <c r="C116" s="1191"/>
      <c r="D116" s="1106"/>
      <c r="E116" s="1106"/>
      <c r="F116" s="1106"/>
      <c r="G116" s="1106"/>
      <c r="H116" s="363"/>
      <c r="I116" s="364"/>
      <c r="J116" s="365"/>
      <c r="K116" s="68"/>
      <c r="L116" s="43"/>
      <c r="M116" s="366"/>
      <c r="N116" s="22"/>
      <c r="O116" s="12"/>
      <c r="P116" s="12"/>
      <c r="Q116" s="12"/>
      <c r="R116" s="12"/>
      <c r="S116" s="191"/>
      <c r="T116" s="1192"/>
      <c r="U116" s="1061"/>
      <c r="V116" s="1020"/>
      <c r="W116" s="364">
        <v>15956</v>
      </c>
      <c r="X116" s="43" t="s">
        <v>32</v>
      </c>
      <c r="Y116" s="1184"/>
      <c r="Z116" s="354"/>
      <c r="AA116" s="347"/>
      <c r="AB116" s="347"/>
      <c r="AC116" s="355"/>
      <c r="AD116" s="347"/>
      <c r="AE116" s="374"/>
      <c r="AF116" s="354"/>
      <c r="AG116" s="347"/>
      <c r="AH116" s="347"/>
      <c r="AI116" s="355"/>
      <c r="AJ116" s="347"/>
      <c r="AK116" s="374"/>
      <c r="AL116" s="354"/>
      <c r="AM116" s="347"/>
      <c r="AN116" s="347"/>
      <c r="AO116" s="355"/>
      <c r="AP116" s="347"/>
      <c r="AQ116" s="374"/>
      <c r="AR116" s="176"/>
    </row>
    <row r="117" spans="1:44" ht="18.75">
      <c r="A117" s="1100">
        <v>50</v>
      </c>
      <c r="B117" s="1102">
        <v>736125</v>
      </c>
      <c r="C117" s="1191" t="s">
        <v>1259</v>
      </c>
      <c r="D117" s="1106">
        <v>1.59</v>
      </c>
      <c r="E117" s="1106">
        <v>14310</v>
      </c>
      <c r="F117" s="1106">
        <v>1.59</v>
      </c>
      <c r="G117" s="1108">
        <v>14310</v>
      </c>
      <c r="H117" s="1149" t="s">
        <v>2946</v>
      </c>
      <c r="I117" s="1110" t="s">
        <v>2947</v>
      </c>
      <c r="J117" s="1020" t="s">
        <v>114</v>
      </c>
      <c r="K117" s="67">
        <v>0.93799999999999994</v>
      </c>
      <c r="L117" s="358" t="s">
        <v>17</v>
      </c>
      <c r="M117" s="1160">
        <v>12298.264999999999</v>
      </c>
      <c r="N117" s="689"/>
      <c r="O117" s="569"/>
      <c r="P117" s="569"/>
      <c r="Q117" s="181"/>
      <c r="R117" s="569"/>
      <c r="S117" s="374"/>
      <c r="T117" s="354"/>
      <c r="U117" s="347"/>
      <c r="V117" s="347"/>
      <c r="W117" s="355"/>
      <c r="X117" s="347"/>
      <c r="Y117" s="374"/>
      <c r="Z117" s="354"/>
      <c r="AA117" s="347"/>
      <c r="AB117" s="347"/>
      <c r="AC117" s="355"/>
      <c r="AD117" s="347"/>
      <c r="AE117" s="374"/>
      <c r="AF117" s="354"/>
      <c r="AG117" s="347"/>
      <c r="AH117" s="347"/>
      <c r="AI117" s="355"/>
      <c r="AJ117" s="347"/>
      <c r="AK117" s="374"/>
      <c r="AL117" s="354"/>
      <c r="AM117" s="347"/>
      <c r="AN117" s="347"/>
      <c r="AO117" s="355"/>
      <c r="AP117" s="347"/>
      <c r="AQ117" s="374"/>
      <c r="AR117" s="176"/>
    </row>
    <row r="118" spans="1:44" ht="18.75">
      <c r="A118" s="1100"/>
      <c r="B118" s="1102"/>
      <c r="C118" s="1191"/>
      <c r="D118" s="1106"/>
      <c r="E118" s="1106"/>
      <c r="F118" s="1106"/>
      <c r="G118" s="1108"/>
      <c r="H118" s="1149"/>
      <c r="I118" s="1110"/>
      <c r="J118" s="1020"/>
      <c r="K118" s="68">
        <v>8520</v>
      </c>
      <c r="L118" s="43" t="s">
        <v>32</v>
      </c>
      <c r="M118" s="1160"/>
      <c r="N118" s="689"/>
      <c r="O118" s="569"/>
      <c r="P118" s="569"/>
      <c r="Q118" s="181"/>
      <c r="R118" s="569"/>
      <c r="S118" s="374"/>
      <c r="T118" s="354"/>
      <c r="U118" s="347"/>
      <c r="V118" s="347"/>
      <c r="W118" s="355"/>
      <c r="X118" s="347"/>
      <c r="Y118" s="374"/>
      <c r="Z118" s="354"/>
      <c r="AA118" s="347"/>
      <c r="AB118" s="347"/>
      <c r="AC118" s="355"/>
      <c r="AD118" s="347"/>
      <c r="AE118" s="374"/>
      <c r="AF118" s="354"/>
      <c r="AG118" s="347"/>
      <c r="AH118" s="347"/>
      <c r="AI118" s="355"/>
      <c r="AJ118" s="347"/>
      <c r="AK118" s="374"/>
      <c r="AL118" s="354"/>
      <c r="AM118" s="347"/>
      <c r="AN118" s="347"/>
      <c r="AO118" s="355"/>
      <c r="AP118" s="347"/>
      <c r="AQ118" s="374"/>
      <c r="AR118" s="176"/>
    </row>
    <row r="119" spans="1:44" ht="18.75">
      <c r="A119" s="1100">
        <v>51</v>
      </c>
      <c r="B119" s="1102">
        <v>744899</v>
      </c>
      <c r="C119" s="1191" t="s">
        <v>1260</v>
      </c>
      <c r="D119" s="1106">
        <v>1.7</v>
      </c>
      <c r="E119" s="1106">
        <v>13600</v>
      </c>
      <c r="F119" s="1106">
        <v>1.7</v>
      </c>
      <c r="G119" s="1108">
        <v>13600</v>
      </c>
      <c r="H119" s="1149" t="s">
        <v>60</v>
      </c>
      <c r="I119" s="1110" t="s">
        <v>2736</v>
      </c>
      <c r="J119" s="1020" t="s">
        <v>114</v>
      </c>
      <c r="K119" s="67">
        <v>1.69</v>
      </c>
      <c r="L119" s="358" t="s">
        <v>17</v>
      </c>
      <c r="M119" s="1160">
        <v>13158.190210000001</v>
      </c>
      <c r="N119" s="689"/>
      <c r="O119" s="569"/>
      <c r="P119" s="569"/>
      <c r="Q119" s="181"/>
      <c r="R119" s="569"/>
      <c r="S119" s="374"/>
      <c r="T119" s="354"/>
      <c r="U119" s="347"/>
      <c r="V119" s="347"/>
      <c r="W119" s="355"/>
      <c r="X119" s="347"/>
      <c r="Y119" s="374"/>
      <c r="Z119" s="354"/>
      <c r="AA119" s="347"/>
      <c r="AB119" s="347"/>
      <c r="AC119" s="355"/>
      <c r="AD119" s="347"/>
      <c r="AE119" s="374"/>
      <c r="AF119" s="354"/>
      <c r="AG119" s="347"/>
      <c r="AH119" s="347"/>
      <c r="AI119" s="355"/>
      <c r="AJ119" s="347"/>
      <c r="AK119" s="374"/>
      <c r="AL119" s="354"/>
      <c r="AM119" s="347"/>
      <c r="AN119" s="347"/>
      <c r="AO119" s="355"/>
      <c r="AP119" s="347"/>
      <c r="AQ119" s="374"/>
      <c r="AR119" s="176"/>
    </row>
    <row r="120" spans="1:44" ht="18.75">
      <c r="A120" s="1100"/>
      <c r="B120" s="1102"/>
      <c r="C120" s="1191"/>
      <c r="D120" s="1106"/>
      <c r="E120" s="1106"/>
      <c r="F120" s="1106"/>
      <c r="G120" s="1108"/>
      <c r="H120" s="1149"/>
      <c r="I120" s="1110"/>
      <c r="J120" s="1020"/>
      <c r="K120" s="68">
        <v>13001</v>
      </c>
      <c r="L120" s="43" t="s">
        <v>32</v>
      </c>
      <c r="M120" s="1160"/>
      <c r="N120" s="689"/>
      <c r="O120" s="569"/>
      <c r="P120" s="569"/>
      <c r="Q120" s="181"/>
      <c r="R120" s="569"/>
      <c r="S120" s="374"/>
      <c r="T120" s="354"/>
      <c r="U120" s="347"/>
      <c r="V120" s="347"/>
      <c r="W120" s="355"/>
      <c r="X120" s="347"/>
      <c r="Y120" s="374"/>
      <c r="Z120" s="354"/>
      <c r="AA120" s="347"/>
      <c r="AB120" s="347"/>
      <c r="AC120" s="355"/>
      <c r="AD120" s="347"/>
      <c r="AE120" s="374"/>
      <c r="AF120" s="354"/>
      <c r="AG120" s="347"/>
      <c r="AH120" s="347"/>
      <c r="AI120" s="355"/>
      <c r="AJ120" s="347"/>
      <c r="AK120" s="374"/>
      <c r="AL120" s="354"/>
      <c r="AM120" s="347"/>
      <c r="AN120" s="347"/>
      <c r="AO120" s="355"/>
      <c r="AP120" s="347"/>
      <c r="AQ120" s="374"/>
      <c r="AR120" s="176"/>
    </row>
    <row r="121" spans="1:44" ht="18.75">
      <c r="A121" s="1124">
        <v>52</v>
      </c>
      <c r="B121" s="1126">
        <v>744839</v>
      </c>
      <c r="C121" s="1128" t="s">
        <v>1261</v>
      </c>
      <c r="D121" s="1130">
        <v>1.5</v>
      </c>
      <c r="E121" s="1130">
        <f>D121*6000</f>
        <v>9000</v>
      </c>
      <c r="F121" s="1130">
        <v>1.5</v>
      </c>
      <c r="G121" s="1145">
        <f>F121*6000</f>
        <v>9000</v>
      </c>
      <c r="H121" s="1149" t="s">
        <v>60</v>
      </c>
      <c r="I121" s="1110" t="s">
        <v>2733</v>
      </c>
      <c r="J121" s="1020" t="s">
        <v>114</v>
      </c>
      <c r="K121" s="93">
        <v>0.94699999999999995</v>
      </c>
      <c r="L121" s="358" t="s">
        <v>17</v>
      </c>
      <c r="M121" s="1160">
        <v>7791.54799</v>
      </c>
      <c r="N121" s="689"/>
      <c r="O121" s="569"/>
      <c r="P121" s="569"/>
      <c r="Q121" s="181"/>
      <c r="R121" s="569"/>
      <c r="S121" s="374"/>
      <c r="T121" s="354"/>
      <c r="U121" s="347"/>
      <c r="V121" s="347"/>
      <c r="W121" s="355"/>
      <c r="X121" s="347"/>
      <c r="Y121" s="374"/>
      <c r="Z121" s="354"/>
      <c r="AA121" s="347"/>
      <c r="AB121" s="347"/>
      <c r="AC121" s="355"/>
      <c r="AD121" s="347"/>
      <c r="AE121" s="374"/>
      <c r="AF121" s="354"/>
      <c r="AG121" s="347"/>
      <c r="AH121" s="347"/>
      <c r="AI121" s="355"/>
      <c r="AJ121" s="347"/>
      <c r="AK121" s="374"/>
      <c r="AL121" s="354"/>
      <c r="AM121" s="347"/>
      <c r="AN121" s="347"/>
      <c r="AO121" s="355"/>
      <c r="AP121" s="347"/>
      <c r="AQ121" s="374"/>
      <c r="AR121" s="176"/>
    </row>
    <row r="122" spans="1:44" ht="18.75">
      <c r="A122" s="1136"/>
      <c r="B122" s="1167"/>
      <c r="C122" s="1168"/>
      <c r="D122" s="1143"/>
      <c r="E122" s="1143"/>
      <c r="F122" s="1143"/>
      <c r="G122" s="1146"/>
      <c r="H122" s="1149"/>
      <c r="I122" s="1110"/>
      <c r="J122" s="1020"/>
      <c r="K122" s="68">
        <v>5682</v>
      </c>
      <c r="L122" s="43" t="s">
        <v>32</v>
      </c>
      <c r="M122" s="1160"/>
      <c r="N122" s="689"/>
      <c r="O122" s="569"/>
      <c r="P122" s="569"/>
      <c r="Q122" s="181"/>
      <c r="R122" s="569"/>
      <c r="S122" s="374"/>
      <c r="T122" s="354"/>
      <c r="U122" s="347"/>
      <c r="V122" s="347"/>
      <c r="W122" s="355"/>
      <c r="X122" s="347"/>
      <c r="Y122" s="374"/>
      <c r="Z122" s="354"/>
      <c r="AA122" s="347"/>
      <c r="AB122" s="347"/>
      <c r="AC122" s="355"/>
      <c r="AD122" s="347"/>
      <c r="AE122" s="374"/>
      <c r="AF122" s="354"/>
      <c r="AG122" s="347"/>
      <c r="AH122" s="347"/>
      <c r="AI122" s="355"/>
      <c r="AJ122" s="347"/>
      <c r="AK122" s="374"/>
      <c r="AL122" s="354"/>
      <c r="AM122" s="347"/>
      <c r="AN122" s="347"/>
      <c r="AO122" s="355"/>
      <c r="AP122" s="347"/>
      <c r="AQ122" s="374"/>
      <c r="AR122" s="176"/>
    </row>
    <row r="123" spans="1:44" ht="18.75">
      <c r="A123" s="1136"/>
      <c r="B123" s="1167"/>
      <c r="C123" s="1168"/>
      <c r="D123" s="1143"/>
      <c r="E123" s="1143"/>
      <c r="F123" s="1143"/>
      <c r="G123" s="1146"/>
      <c r="H123" s="1149" t="s">
        <v>2733</v>
      </c>
      <c r="I123" s="1197" t="s">
        <v>2730</v>
      </c>
      <c r="J123" s="1020" t="s">
        <v>114</v>
      </c>
      <c r="K123" s="93">
        <v>0.55000000000000004</v>
      </c>
      <c r="L123" s="358" t="s">
        <v>17</v>
      </c>
      <c r="M123" s="1160">
        <v>17957.976719999999</v>
      </c>
      <c r="N123" s="689"/>
      <c r="O123" s="569"/>
      <c r="P123" s="569"/>
      <c r="Q123" s="181"/>
      <c r="R123" s="569"/>
      <c r="S123" s="374"/>
      <c r="T123" s="354"/>
      <c r="U123" s="347"/>
      <c r="V123" s="347"/>
      <c r="W123" s="355"/>
      <c r="X123" s="347"/>
      <c r="Y123" s="374"/>
      <c r="Z123" s="354"/>
      <c r="AA123" s="347"/>
      <c r="AB123" s="347"/>
      <c r="AC123" s="355"/>
      <c r="AD123" s="347"/>
      <c r="AE123" s="374"/>
      <c r="AF123" s="354"/>
      <c r="AG123" s="347"/>
      <c r="AH123" s="347"/>
      <c r="AI123" s="355"/>
      <c r="AJ123" s="347"/>
      <c r="AK123" s="374"/>
      <c r="AL123" s="354"/>
      <c r="AM123" s="347"/>
      <c r="AN123" s="347"/>
      <c r="AO123" s="355"/>
      <c r="AP123" s="347"/>
      <c r="AQ123" s="374"/>
      <c r="AR123" s="176"/>
    </row>
    <row r="124" spans="1:44" ht="18.75">
      <c r="A124" s="1125"/>
      <c r="B124" s="1127"/>
      <c r="C124" s="1129"/>
      <c r="D124" s="1144"/>
      <c r="E124" s="1144"/>
      <c r="F124" s="1144"/>
      <c r="G124" s="1147"/>
      <c r="H124" s="1149"/>
      <c r="I124" s="1197"/>
      <c r="J124" s="1020"/>
      <c r="K124" s="68">
        <v>3300</v>
      </c>
      <c r="L124" s="43" t="s">
        <v>32</v>
      </c>
      <c r="M124" s="1160"/>
      <c r="N124" s="689"/>
      <c r="O124" s="569"/>
      <c r="P124" s="569"/>
      <c r="Q124" s="181"/>
      <c r="R124" s="569"/>
      <c r="S124" s="374"/>
      <c r="T124" s="354"/>
      <c r="U124" s="347"/>
      <c r="V124" s="347"/>
      <c r="W124" s="355"/>
      <c r="X124" s="347"/>
      <c r="Y124" s="374"/>
      <c r="Z124" s="354"/>
      <c r="AA124" s="347"/>
      <c r="AB124" s="347"/>
      <c r="AC124" s="355"/>
      <c r="AD124" s="347"/>
      <c r="AE124" s="374"/>
      <c r="AF124" s="354"/>
      <c r="AG124" s="347"/>
      <c r="AH124" s="347"/>
      <c r="AI124" s="355"/>
      <c r="AJ124" s="347"/>
      <c r="AK124" s="374"/>
      <c r="AL124" s="354"/>
      <c r="AM124" s="347"/>
      <c r="AN124" s="347"/>
      <c r="AO124" s="355"/>
      <c r="AP124" s="347"/>
      <c r="AQ124" s="374"/>
      <c r="AR124" s="176"/>
    </row>
    <row r="125" spans="1:44" ht="18.75">
      <c r="A125" s="1124">
        <v>53</v>
      </c>
      <c r="B125" s="1126">
        <v>739731</v>
      </c>
      <c r="C125" s="1128" t="s">
        <v>1262</v>
      </c>
      <c r="D125" s="1130">
        <v>1.8620000000000001</v>
      </c>
      <c r="E125" s="1130">
        <v>14896</v>
      </c>
      <c r="F125" s="1130">
        <v>1.8620000000000001</v>
      </c>
      <c r="G125" s="1195">
        <v>14896</v>
      </c>
      <c r="H125" s="363"/>
      <c r="I125" s="363"/>
      <c r="J125" s="365"/>
      <c r="K125" s="68"/>
      <c r="L125" s="43"/>
      <c r="M125" s="366"/>
      <c r="N125" s="1148" t="s">
        <v>60</v>
      </c>
      <c r="O125" s="1110" t="s">
        <v>2697</v>
      </c>
      <c r="P125" s="1020" t="s">
        <v>114</v>
      </c>
      <c r="Q125" s="67">
        <v>0.25</v>
      </c>
      <c r="R125" s="553" t="s">
        <v>17</v>
      </c>
      <c r="S125" s="1189">
        <v>12300</v>
      </c>
      <c r="T125" s="354"/>
      <c r="U125" s="347"/>
      <c r="V125" s="347"/>
      <c r="W125" s="355"/>
      <c r="X125" s="347"/>
      <c r="Y125" s="374"/>
      <c r="Z125" s="354"/>
      <c r="AA125" s="347"/>
      <c r="AB125" s="347"/>
      <c r="AC125" s="355"/>
      <c r="AD125" s="347"/>
      <c r="AE125" s="374"/>
      <c r="AF125" s="354"/>
      <c r="AG125" s="347"/>
      <c r="AH125" s="347"/>
      <c r="AI125" s="355"/>
      <c r="AJ125" s="347"/>
      <c r="AK125" s="374"/>
      <c r="AL125" s="354"/>
      <c r="AM125" s="347"/>
      <c r="AN125" s="347"/>
      <c r="AO125" s="355"/>
      <c r="AP125" s="347"/>
      <c r="AQ125" s="374"/>
      <c r="AR125" s="176"/>
    </row>
    <row r="126" spans="1:44" ht="18.75">
      <c r="A126" s="1125"/>
      <c r="B126" s="1127"/>
      <c r="C126" s="1129"/>
      <c r="D126" s="1144"/>
      <c r="E126" s="1144"/>
      <c r="F126" s="1144"/>
      <c r="G126" s="1196"/>
      <c r="H126" s="363"/>
      <c r="I126" s="363"/>
      <c r="J126" s="365"/>
      <c r="K126" s="68"/>
      <c r="L126" s="43"/>
      <c r="M126" s="366"/>
      <c r="N126" s="1148"/>
      <c r="O126" s="1110"/>
      <c r="P126" s="1020"/>
      <c r="Q126" s="68">
        <f>Q125*G125/F125</f>
        <v>2000</v>
      </c>
      <c r="R126" s="43" t="s">
        <v>32</v>
      </c>
      <c r="S126" s="1189"/>
      <c r="T126" s="354"/>
      <c r="U126" s="347"/>
      <c r="V126" s="347"/>
      <c r="W126" s="355"/>
      <c r="X126" s="347"/>
      <c r="Y126" s="374"/>
      <c r="Z126" s="354"/>
      <c r="AA126" s="347"/>
      <c r="AB126" s="347"/>
      <c r="AC126" s="355"/>
      <c r="AD126" s="347"/>
      <c r="AE126" s="374"/>
      <c r="AF126" s="354"/>
      <c r="AG126" s="347"/>
      <c r="AH126" s="347"/>
      <c r="AI126" s="355"/>
      <c r="AJ126" s="347"/>
      <c r="AK126" s="374"/>
      <c r="AL126" s="354"/>
      <c r="AM126" s="347"/>
      <c r="AN126" s="347"/>
      <c r="AO126" s="355"/>
      <c r="AP126" s="347"/>
      <c r="AQ126" s="374"/>
      <c r="AR126" s="176"/>
    </row>
    <row r="127" spans="1:44" ht="18.75">
      <c r="A127" s="1124">
        <v>54</v>
      </c>
      <c r="B127" s="1126">
        <v>734724</v>
      </c>
      <c r="C127" s="1128" t="s">
        <v>1263</v>
      </c>
      <c r="D127" s="1130">
        <v>0.42399999999999999</v>
      </c>
      <c r="E127" s="1130">
        <v>3816</v>
      </c>
      <c r="F127" s="1130">
        <v>0.42399999999999999</v>
      </c>
      <c r="G127" s="1195">
        <v>3816</v>
      </c>
      <c r="H127" s="363"/>
      <c r="I127" s="363"/>
      <c r="J127" s="365"/>
      <c r="K127" s="68"/>
      <c r="L127" s="43"/>
      <c r="M127" s="366"/>
      <c r="N127" s="1148" t="s">
        <v>60</v>
      </c>
      <c r="O127" s="1110" t="s">
        <v>2970</v>
      </c>
      <c r="P127" s="1020" t="s">
        <v>114</v>
      </c>
      <c r="Q127" s="67">
        <v>0.42399999999999999</v>
      </c>
      <c r="R127" s="553" t="s">
        <v>17</v>
      </c>
      <c r="S127" s="1189">
        <v>14200</v>
      </c>
      <c r="T127" s="354"/>
      <c r="U127" s="347"/>
      <c r="V127" s="347"/>
      <c r="W127" s="355"/>
      <c r="X127" s="347"/>
      <c r="Y127" s="374"/>
      <c r="Z127" s="354"/>
      <c r="AA127" s="347"/>
      <c r="AB127" s="347"/>
      <c r="AC127" s="355"/>
      <c r="AD127" s="347"/>
      <c r="AE127" s="374"/>
      <c r="AF127" s="354"/>
      <c r="AG127" s="347"/>
      <c r="AH127" s="347"/>
      <c r="AI127" s="355"/>
      <c r="AJ127" s="347"/>
      <c r="AK127" s="374"/>
      <c r="AL127" s="354"/>
      <c r="AM127" s="347"/>
      <c r="AN127" s="347"/>
      <c r="AO127" s="355"/>
      <c r="AP127" s="347"/>
      <c r="AQ127" s="374"/>
      <c r="AR127" s="176"/>
    </row>
    <row r="128" spans="1:44" ht="18.75">
      <c r="A128" s="1125"/>
      <c r="B128" s="1127"/>
      <c r="C128" s="1129"/>
      <c r="D128" s="1144"/>
      <c r="E128" s="1144"/>
      <c r="F128" s="1144"/>
      <c r="G128" s="1196"/>
      <c r="H128" s="363"/>
      <c r="I128" s="363"/>
      <c r="J128" s="365"/>
      <c r="K128" s="68"/>
      <c r="L128" s="43"/>
      <c r="M128" s="366"/>
      <c r="N128" s="1148"/>
      <c r="O128" s="1110"/>
      <c r="P128" s="1020"/>
      <c r="Q128" s="68">
        <f>Q127*G127/F127</f>
        <v>3816</v>
      </c>
      <c r="R128" s="43" t="s">
        <v>32</v>
      </c>
      <c r="S128" s="1189"/>
      <c r="T128" s="354"/>
      <c r="U128" s="347"/>
      <c r="V128" s="347"/>
      <c r="W128" s="355"/>
      <c r="X128" s="347"/>
      <c r="Y128" s="374"/>
      <c r="Z128" s="354"/>
      <c r="AA128" s="347"/>
      <c r="AB128" s="347"/>
      <c r="AC128" s="355"/>
      <c r="AD128" s="347"/>
      <c r="AE128" s="374"/>
      <c r="AF128" s="354"/>
      <c r="AG128" s="347"/>
      <c r="AH128" s="347"/>
      <c r="AI128" s="355"/>
      <c r="AJ128" s="347"/>
      <c r="AK128" s="374"/>
      <c r="AL128" s="354"/>
      <c r="AM128" s="347"/>
      <c r="AN128" s="347"/>
      <c r="AO128" s="355"/>
      <c r="AP128" s="347"/>
      <c r="AQ128" s="374"/>
      <c r="AR128" s="176"/>
    </row>
    <row r="129" spans="1:44" ht="18.75">
      <c r="A129" s="1124">
        <v>55</v>
      </c>
      <c r="B129" s="1126">
        <v>749750</v>
      </c>
      <c r="C129" s="1128" t="s">
        <v>1264</v>
      </c>
      <c r="D129" s="1130">
        <v>0.97199999999999998</v>
      </c>
      <c r="E129" s="1130">
        <v>6804</v>
      </c>
      <c r="F129" s="1130">
        <v>0.97199999999999998</v>
      </c>
      <c r="G129" s="1195">
        <v>6804</v>
      </c>
      <c r="H129" s="363"/>
      <c r="I129" s="363"/>
      <c r="J129" s="365"/>
      <c r="K129" s="68"/>
      <c r="L129" s="43"/>
      <c r="M129" s="366"/>
      <c r="N129" s="1148" t="s">
        <v>60</v>
      </c>
      <c r="O129" s="1110" t="s">
        <v>2598</v>
      </c>
      <c r="P129" s="1020" t="s">
        <v>114</v>
      </c>
      <c r="Q129" s="67">
        <v>0.2</v>
      </c>
      <c r="R129" s="553" t="s">
        <v>17</v>
      </c>
      <c r="S129" s="1189">
        <v>2070</v>
      </c>
      <c r="T129" s="354"/>
      <c r="U129" s="347"/>
      <c r="V129" s="347"/>
      <c r="W129" s="355"/>
      <c r="X129" s="347"/>
      <c r="Y129" s="374"/>
      <c r="Z129" s="354"/>
      <c r="AA129" s="347"/>
      <c r="AB129" s="347"/>
      <c r="AC129" s="355"/>
      <c r="AD129" s="347"/>
      <c r="AE129" s="374"/>
      <c r="AF129" s="354"/>
      <c r="AG129" s="347"/>
      <c r="AH129" s="347"/>
      <c r="AI129" s="355"/>
      <c r="AJ129" s="347"/>
      <c r="AK129" s="374"/>
      <c r="AL129" s="354"/>
      <c r="AM129" s="347"/>
      <c r="AN129" s="347"/>
      <c r="AO129" s="355"/>
      <c r="AP129" s="347"/>
      <c r="AQ129" s="374"/>
      <c r="AR129" s="176"/>
    </row>
    <row r="130" spans="1:44" ht="18.75">
      <c r="A130" s="1125"/>
      <c r="B130" s="1127"/>
      <c r="C130" s="1129"/>
      <c r="D130" s="1144"/>
      <c r="E130" s="1144"/>
      <c r="F130" s="1144"/>
      <c r="G130" s="1196"/>
      <c r="H130" s="363"/>
      <c r="I130" s="363"/>
      <c r="J130" s="365"/>
      <c r="K130" s="68"/>
      <c r="L130" s="43"/>
      <c r="M130" s="366"/>
      <c r="N130" s="1148"/>
      <c r="O130" s="1110"/>
      <c r="P130" s="1020"/>
      <c r="Q130" s="68">
        <f>Q129*G129/F129</f>
        <v>1400.0000000000002</v>
      </c>
      <c r="R130" s="43" t="s">
        <v>32</v>
      </c>
      <c r="S130" s="1189"/>
      <c r="T130" s="354"/>
      <c r="U130" s="347"/>
      <c r="V130" s="347"/>
      <c r="W130" s="355"/>
      <c r="X130" s="347"/>
      <c r="Y130" s="374"/>
      <c r="Z130" s="354"/>
      <c r="AA130" s="347"/>
      <c r="AB130" s="347"/>
      <c r="AC130" s="355"/>
      <c r="AD130" s="347"/>
      <c r="AE130" s="374"/>
      <c r="AF130" s="354"/>
      <c r="AG130" s="347"/>
      <c r="AH130" s="347"/>
      <c r="AI130" s="355"/>
      <c r="AJ130" s="347"/>
      <c r="AK130" s="374"/>
      <c r="AL130" s="354"/>
      <c r="AM130" s="347"/>
      <c r="AN130" s="347"/>
      <c r="AO130" s="355"/>
      <c r="AP130" s="347"/>
      <c r="AQ130" s="374"/>
      <c r="AR130" s="176"/>
    </row>
    <row r="131" spans="1:44" ht="18.75">
      <c r="A131" s="1124">
        <v>56</v>
      </c>
      <c r="B131" s="1126">
        <v>742553</v>
      </c>
      <c r="C131" s="1128" t="s">
        <v>1265</v>
      </c>
      <c r="D131" s="1130">
        <v>0.5</v>
      </c>
      <c r="E131" s="1130">
        <v>4000</v>
      </c>
      <c r="F131" s="1130">
        <v>0.5</v>
      </c>
      <c r="G131" s="1195">
        <v>4000</v>
      </c>
      <c r="H131" s="363"/>
      <c r="I131" s="363"/>
      <c r="J131" s="365"/>
      <c r="K131" s="68"/>
      <c r="L131" s="43"/>
      <c r="M131" s="366"/>
      <c r="N131" s="1148" t="s">
        <v>60</v>
      </c>
      <c r="O131" s="1110" t="s">
        <v>2726</v>
      </c>
      <c r="P131" s="1020" t="s">
        <v>114</v>
      </c>
      <c r="Q131" s="67">
        <v>0.5</v>
      </c>
      <c r="R131" s="553" t="s">
        <v>17</v>
      </c>
      <c r="S131" s="1189">
        <v>5175</v>
      </c>
      <c r="T131" s="354"/>
      <c r="U131" s="347"/>
      <c r="V131" s="347"/>
      <c r="W131" s="355"/>
      <c r="X131" s="347"/>
      <c r="Y131" s="374"/>
      <c r="Z131" s="354"/>
      <c r="AA131" s="347"/>
      <c r="AB131" s="347"/>
      <c r="AC131" s="355"/>
      <c r="AD131" s="347"/>
      <c r="AE131" s="374"/>
      <c r="AF131" s="354"/>
      <c r="AG131" s="347"/>
      <c r="AH131" s="347"/>
      <c r="AI131" s="355"/>
      <c r="AJ131" s="347"/>
      <c r="AK131" s="374"/>
      <c r="AL131" s="354"/>
      <c r="AM131" s="347"/>
      <c r="AN131" s="347"/>
      <c r="AO131" s="355"/>
      <c r="AP131" s="347"/>
      <c r="AQ131" s="374"/>
      <c r="AR131" s="176"/>
    </row>
    <row r="132" spans="1:44" ht="18.75">
      <c r="A132" s="1125"/>
      <c r="B132" s="1127"/>
      <c r="C132" s="1129"/>
      <c r="D132" s="1144"/>
      <c r="E132" s="1144"/>
      <c r="F132" s="1144"/>
      <c r="G132" s="1196"/>
      <c r="H132" s="363"/>
      <c r="I132" s="363"/>
      <c r="J132" s="365"/>
      <c r="K132" s="68"/>
      <c r="L132" s="43"/>
      <c r="M132" s="366"/>
      <c r="N132" s="1148"/>
      <c r="O132" s="1110"/>
      <c r="P132" s="1020"/>
      <c r="Q132" s="68">
        <f>Q131*G131/F131</f>
        <v>4000</v>
      </c>
      <c r="R132" s="43" t="s">
        <v>32</v>
      </c>
      <c r="S132" s="1189"/>
      <c r="T132" s="354"/>
      <c r="U132" s="347"/>
      <c r="V132" s="347"/>
      <c r="W132" s="355"/>
      <c r="X132" s="347"/>
      <c r="Y132" s="374"/>
      <c r="Z132" s="354"/>
      <c r="AA132" s="347"/>
      <c r="AB132" s="347"/>
      <c r="AC132" s="355"/>
      <c r="AD132" s="347"/>
      <c r="AE132" s="374"/>
      <c r="AF132" s="354"/>
      <c r="AG132" s="347"/>
      <c r="AH132" s="347"/>
      <c r="AI132" s="355"/>
      <c r="AJ132" s="347"/>
      <c r="AK132" s="374"/>
      <c r="AL132" s="354"/>
      <c r="AM132" s="347"/>
      <c r="AN132" s="347"/>
      <c r="AO132" s="355"/>
      <c r="AP132" s="347"/>
      <c r="AQ132" s="374"/>
      <c r="AR132" s="176"/>
    </row>
    <row r="133" spans="1:44" ht="18.75">
      <c r="A133" s="1124">
        <v>57</v>
      </c>
      <c r="B133" s="1126">
        <v>740146</v>
      </c>
      <c r="C133" s="1128" t="s">
        <v>1266</v>
      </c>
      <c r="D133" s="1130">
        <v>0.58399999999999996</v>
      </c>
      <c r="E133" s="1130">
        <v>4672</v>
      </c>
      <c r="F133" s="1130">
        <v>0.58399999999999996</v>
      </c>
      <c r="G133" s="1195">
        <v>4672</v>
      </c>
      <c r="H133" s="363"/>
      <c r="I133" s="363"/>
      <c r="J133" s="365"/>
      <c r="K133" s="68"/>
      <c r="L133" s="43"/>
      <c r="M133" s="366"/>
      <c r="N133" s="1149" t="s">
        <v>60</v>
      </c>
      <c r="O133" s="1110" t="s">
        <v>2971</v>
      </c>
      <c r="P133" s="1020" t="s">
        <v>114</v>
      </c>
      <c r="Q133" s="67">
        <v>0.58399999999999996</v>
      </c>
      <c r="R133" s="358" t="s">
        <v>17</v>
      </c>
      <c r="S133" s="1189">
        <v>8600</v>
      </c>
      <c r="T133" s="354"/>
      <c r="U133" s="347"/>
      <c r="V133" s="347"/>
      <c r="W133" s="355"/>
      <c r="X133" s="347"/>
      <c r="Y133" s="374"/>
      <c r="Z133" s="354"/>
      <c r="AA133" s="347"/>
      <c r="AB133" s="347"/>
      <c r="AC133" s="355"/>
      <c r="AD133" s="347"/>
      <c r="AE133" s="374"/>
      <c r="AF133" s="354"/>
      <c r="AG133" s="347"/>
      <c r="AH133" s="347"/>
      <c r="AI133" s="355"/>
      <c r="AJ133" s="347"/>
      <c r="AK133" s="374"/>
      <c r="AL133" s="354"/>
      <c r="AM133" s="347"/>
      <c r="AN133" s="347"/>
      <c r="AO133" s="355"/>
      <c r="AP133" s="347"/>
      <c r="AQ133" s="374"/>
      <c r="AR133" s="176"/>
    </row>
    <row r="134" spans="1:44" ht="18.75">
      <c r="A134" s="1125"/>
      <c r="B134" s="1127"/>
      <c r="C134" s="1129"/>
      <c r="D134" s="1144"/>
      <c r="E134" s="1144"/>
      <c r="F134" s="1144"/>
      <c r="G134" s="1196"/>
      <c r="H134" s="363"/>
      <c r="I134" s="363"/>
      <c r="J134" s="365"/>
      <c r="K134" s="68"/>
      <c r="L134" s="43"/>
      <c r="M134" s="366"/>
      <c r="N134" s="1149"/>
      <c r="O134" s="1110"/>
      <c r="P134" s="1020"/>
      <c r="Q134" s="68">
        <f>Q133*G133/F133</f>
        <v>4672</v>
      </c>
      <c r="R134" s="43" t="s">
        <v>32</v>
      </c>
      <c r="S134" s="1189"/>
      <c r="T134" s="354"/>
      <c r="U134" s="347"/>
      <c r="V134" s="347"/>
      <c r="W134" s="355"/>
      <c r="X134" s="347"/>
      <c r="Y134" s="374"/>
      <c r="Z134" s="354"/>
      <c r="AA134" s="347"/>
      <c r="AB134" s="347"/>
      <c r="AC134" s="355"/>
      <c r="AD134" s="347"/>
      <c r="AE134" s="374"/>
      <c r="AF134" s="354"/>
      <c r="AG134" s="347"/>
      <c r="AH134" s="347"/>
      <c r="AI134" s="355"/>
      <c r="AJ134" s="347"/>
      <c r="AK134" s="374"/>
      <c r="AL134" s="354"/>
      <c r="AM134" s="347"/>
      <c r="AN134" s="347"/>
      <c r="AO134" s="355"/>
      <c r="AP134" s="347"/>
      <c r="AQ134" s="374"/>
      <c r="AR134" s="176"/>
    </row>
    <row r="135" spans="1:44" ht="18.75">
      <c r="A135" s="1124">
        <v>58</v>
      </c>
      <c r="B135" s="1126">
        <v>735132</v>
      </c>
      <c r="C135" s="1128" t="s">
        <v>1267</v>
      </c>
      <c r="D135" s="1130">
        <v>1.27</v>
      </c>
      <c r="E135" s="1130">
        <v>10160</v>
      </c>
      <c r="F135" s="1130">
        <v>1.27</v>
      </c>
      <c r="G135" s="1195">
        <v>10160</v>
      </c>
      <c r="H135" s="363"/>
      <c r="I135" s="363"/>
      <c r="J135" s="365"/>
      <c r="K135" s="68"/>
      <c r="L135" s="43"/>
      <c r="M135" s="366"/>
      <c r="N135" s="1149" t="s">
        <v>60</v>
      </c>
      <c r="O135" s="1110" t="s">
        <v>2972</v>
      </c>
      <c r="P135" s="1020" t="s">
        <v>114</v>
      </c>
      <c r="Q135" s="67">
        <v>1.27</v>
      </c>
      <c r="R135" s="358" t="s">
        <v>17</v>
      </c>
      <c r="S135" s="1189">
        <v>14800</v>
      </c>
      <c r="T135" s="354"/>
      <c r="U135" s="347"/>
      <c r="V135" s="347"/>
      <c r="W135" s="355"/>
      <c r="X135" s="347"/>
      <c r="Y135" s="374"/>
      <c r="Z135" s="354"/>
      <c r="AA135" s="347"/>
      <c r="AB135" s="347"/>
      <c r="AC135" s="355"/>
      <c r="AD135" s="347"/>
      <c r="AE135" s="374"/>
      <c r="AF135" s="354"/>
      <c r="AG135" s="347"/>
      <c r="AH135" s="347"/>
      <c r="AI135" s="355"/>
      <c r="AJ135" s="347"/>
      <c r="AK135" s="374"/>
      <c r="AL135" s="354"/>
      <c r="AM135" s="347"/>
      <c r="AN135" s="347"/>
      <c r="AO135" s="355"/>
      <c r="AP135" s="347"/>
      <c r="AQ135" s="374"/>
      <c r="AR135" s="176"/>
    </row>
    <row r="136" spans="1:44" ht="18.75">
      <c r="A136" s="1125"/>
      <c r="B136" s="1127"/>
      <c r="C136" s="1129"/>
      <c r="D136" s="1144"/>
      <c r="E136" s="1144"/>
      <c r="F136" s="1144"/>
      <c r="G136" s="1196"/>
      <c r="H136" s="363"/>
      <c r="I136" s="363"/>
      <c r="J136" s="365"/>
      <c r="K136" s="68"/>
      <c r="L136" s="43"/>
      <c r="M136" s="366"/>
      <c r="N136" s="1149"/>
      <c r="O136" s="1110"/>
      <c r="P136" s="1020"/>
      <c r="Q136" s="68">
        <f>Q135*G135/F135</f>
        <v>10160</v>
      </c>
      <c r="R136" s="43" t="s">
        <v>32</v>
      </c>
      <c r="S136" s="1189"/>
      <c r="T136" s="354"/>
      <c r="U136" s="347"/>
      <c r="V136" s="347"/>
      <c r="W136" s="355"/>
      <c r="X136" s="347"/>
      <c r="Y136" s="374"/>
      <c r="Z136" s="354"/>
      <c r="AA136" s="347"/>
      <c r="AB136" s="347"/>
      <c r="AC136" s="355"/>
      <c r="AD136" s="347"/>
      <c r="AE136" s="374"/>
      <c r="AF136" s="354"/>
      <c r="AG136" s="347"/>
      <c r="AH136" s="347"/>
      <c r="AI136" s="355"/>
      <c r="AJ136" s="347"/>
      <c r="AK136" s="374"/>
      <c r="AL136" s="354"/>
      <c r="AM136" s="347"/>
      <c r="AN136" s="347"/>
      <c r="AO136" s="355"/>
      <c r="AP136" s="347"/>
      <c r="AQ136" s="374"/>
      <c r="AR136" s="176"/>
    </row>
    <row r="137" spans="1:44" ht="18.75">
      <c r="A137" s="1124">
        <v>59</v>
      </c>
      <c r="B137" s="1126">
        <v>742104</v>
      </c>
      <c r="C137" s="1128" t="s">
        <v>1268</v>
      </c>
      <c r="D137" s="1130">
        <v>2.105</v>
      </c>
      <c r="E137" s="1130">
        <f>D137*6000</f>
        <v>12630</v>
      </c>
      <c r="F137" s="1130">
        <v>2.105</v>
      </c>
      <c r="G137" s="1145">
        <f>F137*6000</f>
        <v>12630</v>
      </c>
      <c r="H137" s="1149" t="s">
        <v>60</v>
      </c>
      <c r="I137" s="1110" t="s">
        <v>2948</v>
      </c>
      <c r="J137" s="1112" t="s">
        <v>116</v>
      </c>
      <c r="K137" s="94">
        <v>1.625</v>
      </c>
      <c r="L137" s="358" t="s">
        <v>17</v>
      </c>
      <c r="M137" s="1160">
        <v>51275.924350000001</v>
      </c>
      <c r="N137" s="373"/>
      <c r="O137" s="364"/>
      <c r="P137" s="364"/>
      <c r="Q137" s="181"/>
      <c r="R137" s="364"/>
      <c r="S137" s="374"/>
      <c r="T137" s="354"/>
      <c r="U137" s="347"/>
      <c r="V137" s="347"/>
      <c r="W137" s="355"/>
      <c r="X137" s="364"/>
      <c r="Y137" s="374"/>
      <c r="Z137" s="354"/>
      <c r="AA137" s="347"/>
      <c r="AB137" s="347"/>
      <c r="AC137" s="355"/>
      <c r="AD137" s="347"/>
      <c r="AE137" s="374"/>
      <c r="AF137" s="354"/>
      <c r="AG137" s="347"/>
      <c r="AH137" s="347"/>
      <c r="AI137" s="355"/>
      <c r="AJ137" s="347"/>
      <c r="AK137" s="374"/>
      <c r="AL137" s="354"/>
      <c r="AM137" s="347"/>
      <c r="AN137" s="347"/>
      <c r="AO137" s="355"/>
      <c r="AP137" s="347"/>
      <c r="AQ137" s="374"/>
      <c r="AR137" s="176"/>
    </row>
    <row r="138" spans="1:44" ht="18.75">
      <c r="A138" s="1136"/>
      <c r="B138" s="1167"/>
      <c r="C138" s="1168"/>
      <c r="D138" s="1143"/>
      <c r="E138" s="1143"/>
      <c r="F138" s="1143"/>
      <c r="G138" s="1146"/>
      <c r="H138" s="1149"/>
      <c r="I138" s="1110"/>
      <c r="J138" s="1112"/>
      <c r="K138" s="68">
        <v>12022</v>
      </c>
      <c r="L138" s="43" t="s">
        <v>32</v>
      </c>
      <c r="M138" s="1160"/>
      <c r="N138" s="373"/>
      <c r="O138" s="364"/>
      <c r="P138" s="364"/>
      <c r="Q138" s="181"/>
      <c r="R138" s="364"/>
      <c r="S138" s="374"/>
      <c r="T138" s="354"/>
      <c r="U138" s="347"/>
      <c r="V138" s="347"/>
      <c r="W138" s="355"/>
      <c r="X138" s="364"/>
      <c r="Y138" s="374"/>
      <c r="Z138" s="354"/>
      <c r="AA138" s="347"/>
      <c r="AB138" s="347"/>
      <c r="AC138" s="355"/>
      <c r="AD138" s="347"/>
      <c r="AE138" s="374"/>
      <c r="AF138" s="354"/>
      <c r="AG138" s="347"/>
      <c r="AH138" s="347"/>
      <c r="AI138" s="355"/>
      <c r="AJ138" s="347"/>
      <c r="AK138" s="374"/>
      <c r="AL138" s="354"/>
      <c r="AM138" s="347"/>
      <c r="AN138" s="347"/>
      <c r="AO138" s="355"/>
      <c r="AP138" s="347"/>
      <c r="AQ138" s="374"/>
      <c r="AR138" s="176"/>
    </row>
    <row r="139" spans="1:44" ht="18.75">
      <c r="A139" s="1136"/>
      <c r="B139" s="1167"/>
      <c r="C139" s="1168"/>
      <c r="D139" s="1143"/>
      <c r="E139" s="1143"/>
      <c r="F139" s="1143"/>
      <c r="G139" s="1146"/>
      <c r="H139" s="1149" t="s">
        <v>2948</v>
      </c>
      <c r="I139" s="1152" t="s">
        <v>2949</v>
      </c>
      <c r="J139" s="1020" t="s">
        <v>114</v>
      </c>
      <c r="K139" s="205">
        <v>0.48</v>
      </c>
      <c r="L139" s="358" t="s">
        <v>17</v>
      </c>
      <c r="M139" s="1160">
        <v>7628.5223999999998</v>
      </c>
      <c r="N139" s="373"/>
      <c r="O139" s="364"/>
      <c r="P139" s="364"/>
      <c r="Q139" s="181"/>
      <c r="R139" s="364"/>
      <c r="S139" s="378"/>
      <c r="T139" s="354"/>
      <c r="U139" s="347"/>
      <c r="V139" s="347"/>
      <c r="W139" s="355"/>
      <c r="X139" s="364"/>
      <c r="Y139" s="378"/>
      <c r="Z139" s="354"/>
      <c r="AA139" s="347"/>
      <c r="AB139" s="347"/>
      <c r="AC139" s="355"/>
      <c r="AD139" s="347"/>
      <c r="AE139" s="378"/>
      <c r="AF139" s="354"/>
      <c r="AG139" s="347"/>
      <c r="AH139" s="347"/>
      <c r="AI139" s="355"/>
      <c r="AJ139" s="347"/>
      <c r="AK139" s="378"/>
      <c r="AL139" s="354"/>
      <c r="AM139" s="347"/>
      <c r="AN139" s="347"/>
      <c r="AO139" s="355"/>
      <c r="AP139" s="347"/>
      <c r="AQ139" s="378"/>
      <c r="AR139" s="176"/>
    </row>
    <row r="140" spans="1:44" ht="18.75">
      <c r="A140" s="1125"/>
      <c r="B140" s="1127"/>
      <c r="C140" s="1129"/>
      <c r="D140" s="1144"/>
      <c r="E140" s="1144"/>
      <c r="F140" s="1144"/>
      <c r="G140" s="1147"/>
      <c r="H140" s="1149"/>
      <c r="I140" s="1153"/>
      <c r="J140" s="1020"/>
      <c r="K140" s="68">
        <f>K139*G137/F137</f>
        <v>2880</v>
      </c>
      <c r="L140" s="43" t="s">
        <v>32</v>
      </c>
      <c r="M140" s="1160"/>
      <c r="N140" s="373"/>
      <c r="O140" s="364"/>
      <c r="P140" s="364"/>
      <c r="Q140" s="181"/>
      <c r="R140" s="364"/>
      <c r="S140" s="378"/>
      <c r="T140" s="354"/>
      <c r="U140" s="347"/>
      <c r="V140" s="347"/>
      <c r="W140" s="355"/>
      <c r="X140" s="364"/>
      <c r="Y140" s="378"/>
      <c r="Z140" s="354"/>
      <c r="AA140" s="347"/>
      <c r="AB140" s="347"/>
      <c r="AC140" s="355"/>
      <c r="AD140" s="347"/>
      <c r="AE140" s="378"/>
      <c r="AF140" s="354"/>
      <c r="AG140" s="347"/>
      <c r="AH140" s="347"/>
      <c r="AI140" s="355"/>
      <c r="AJ140" s="347"/>
      <c r="AK140" s="378"/>
      <c r="AL140" s="354"/>
      <c r="AM140" s="347"/>
      <c r="AN140" s="347"/>
      <c r="AO140" s="355"/>
      <c r="AP140" s="347"/>
      <c r="AQ140" s="378"/>
      <c r="AR140" s="176"/>
    </row>
    <row r="141" spans="1:44" ht="18.75">
      <c r="A141" s="1124">
        <v>60</v>
      </c>
      <c r="B141" s="1126"/>
      <c r="C141" s="1128" t="s">
        <v>1269</v>
      </c>
      <c r="D141" s="1130">
        <v>2.2000000000000002</v>
      </c>
      <c r="E141" s="1130">
        <v>13200</v>
      </c>
      <c r="F141" s="1130">
        <v>2.2000000000000002</v>
      </c>
      <c r="G141" s="1195">
        <v>13200</v>
      </c>
      <c r="H141" s="363"/>
      <c r="I141" s="367"/>
      <c r="J141" s="365"/>
      <c r="K141" s="68"/>
      <c r="L141" s="43"/>
      <c r="M141" s="351"/>
      <c r="N141" s="1149" t="s">
        <v>60</v>
      </c>
      <c r="O141" s="1110" t="s">
        <v>2722</v>
      </c>
      <c r="P141" s="1020" t="s">
        <v>114</v>
      </c>
      <c r="Q141" s="67">
        <v>1.5</v>
      </c>
      <c r="R141" s="358" t="s">
        <v>17</v>
      </c>
      <c r="S141" s="1090">
        <f>17900+100</f>
        <v>18000</v>
      </c>
      <c r="T141" s="354"/>
      <c r="U141" s="347"/>
      <c r="V141" s="347"/>
      <c r="W141" s="355"/>
      <c r="X141" s="364"/>
      <c r="Y141" s="378"/>
      <c r="Z141" s="354"/>
      <c r="AA141" s="347"/>
      <c r="AB141" s="347"/>
      <c r="AC141" s="355"/>
      <c r="AD141" s="347"/>
      <c r="AE141" s="378"/>
      <c r="AF141" s="354"/>
      <c r="AG141" s="347"/>
      <c r="AH141" s="347"/>
      <c r="AI141" s="355"/>
      <c r="AJ141" s="347"/>
      <c r="AK141" s="378"/>
      <c r="AL141" s="354"/>
      <c r="AM141" s="347"/>
      <c r="AN141" s="347"/>
      <c r="AO141" s="355"/>
      <c r="AP141" s="347"/>
      <c r="AQ141" s="378"/>
      <c r="AR141" s="176"/>
    </row>
    <row r="142" spans="1:44" ht="18.75">
      <c r="A142" s="1125"/>
      <c r="B142" s="1127"/>
      <c r="C142" s="1129"/>
      <c r="D142" s="1144"/>
      <c r="E142" s="1144"/>
      <c r="F142" s="1144"/>
      <c r="G142" s="1196"/>
      <c r="H142" s="363"/>
      <c r="I142" s="367"/>
      <c r="J142" s="365"/>
      <c r="K142" s="68"/>
      <c r="L142" s="43"/>
      <c r="M142" s="351"/>
      <c r="N142" s="1149"/>
      <c r="O142" s="1110"/>
      <c r="P142" s="1020"/>
      <c r="Q142" s="68">
        <f>Q141*G141/F141</f>
        <v>9000</v>
      </c>
      <c r="R142" s="43" t="s">
        <v>32</v>
      </c>
      <c r="S142" s="1204"/>
      <c r="T142" s="354"/>
      <c r="U142" s="347"/>
      <c r="V142" s="347"/>
      <c r="W142" s="355"/>
      <c r="X142" s="364"/>
      <c r="Y142" s="378"/>
      <c r="Z142" s="354"/>
      <c r="AA142" s="347"/>
      <c r="AB142" s="347"/>
      <c r="AC142" s="355"/>
      <c r="AD142" s="347"/>
      <c r="AE142" s="378"/>
      <c r="AF142" s="354"/>
      <c r="AG142" s="347"/>
      <c r="AH142" s="347"/>
      <c r="AI142" s="355"/>
      <c r="AJ142" s="347"/>
      <c r="AK142" s="378"/>
      <c r="AL142" s="354"/>
      <c r="AM142" s="347"/>
      <c r="AN142" s="347"/>
      <c r="AO142" s="355"/>
      <c r="AP142" s="347"/>
      <c r="AQ142" s="378"/>
      <c r="AR142" s="176"/>
    </row>
    <row r="143" spans="1:44" ht="44.25" customHeight="1">
      <c r="A143" s="1198"/>
      <c r="B143" s="1200"/>
      <c r="C143" s="1068" t="s">
        <v>111</v>
      </c>
      <c r="D143" s="1069"/>
      <c r="E143" s="1069"/>
      <c r="F143" s="1202"/>
      <c r="G143" s="69"/>
      <c r="H143" s="373"/>
      <c r="I143" s="12"/>
      <c r="J143" s="1061" t="s">
        <v>112</v>
      </c>
      <c r="K143" s="68"/>
      <c r="L143" s="344" t="s">
        <v>17</v>
      </c>
      <c r="M143" s="1205">
        <f>K143*181.25</f>
        <v>0</v>
      </c>
      <c r="N143" s="373"/>
      <c r="O143" s="350"/>
      <c r="P143" s="1061" t="s">
        <v>112</v>
      </c>
      <c r="Q143" s="67"/>
      <c r="R143" s="344" t="s">
        <v>17</v>
      </c>
      <c r="S143" s="1090">
        <f>Q143*181.25</f>
        <v>0</v>
      </c>
      <c r="T143" s="206"/>
      <c r="U143" s="348"/>
      <c r="V143" s="1061" t="s">
        <v>112</v>
      </c>
      <c r="W143" s="67">
        <v>16.899999999999999</v>
      </c>
      <c r="X143" s="344" t="s">
        <v>17</v>
      </c>
      <c r="Y143" s="1090">
        <v>84628.2</v>
      </c>
      <c r="Z143" s="206"/>
      <c r="AA143" s="12"/>
      <c r="AB143" s="1061" t="s">
        <v>112</v>
      </c>
      <c r="AC143" s="67">
        <v>20</v>
      </c>
      <c r="AD143" s="344" t="s">
        <v>17</v>
      </c>
      <c r="AE143" s="1090">
        <v>99720</v>
      </c>
      <c r="AF143" s="206"/>
      <c r="AG143" s="348"/>
      <c r="AH143" s="1061" t="s">
        <v>112</v>
      </c>
      <c r="AI143" s="67">
        <v>22.74</v>
      </c>
      <c r="AJ143" s="344" t="s">
        <v>17</v>
      </c>
      <c r="AK143" s="1090">
        <v>546700</v>
      </c>
      <c r="AL143" s="206"/>
      <c r="AM143" s="348"/>
      <c r="AN143" s="1061" t="s">
        <v>112</v>
      </c>
      <c r="AO143" s="67">
        <v>21.4</v>
      </c>
      <c r="AP143" s="344" t="s">
        <v>17</v>
      </c>
      <c r="AQ143" s="1090">
        <v>300000</v>
      </c>
      <c r="AR143" s="176"/>
    </row>
    <row r="144" spans="1:44" ht="48" customHeight="1" thickBot="1">
      <c r="A144" s="1199"/>
      <c r="B144" s="1201"/>
      <c r="C144" s="1068"/>
      <c r="D144" s="1069"/>
      <c r="E144" s="1069"/>
      <c r="F144" s="1202"/>
      <c r="G144" s="69"/>
      <c r="H144" s="373"/>
      <c r="I144" s="12"/>
      <c r="J144" s="1061"/>
      <c r="K144" s="68">
        <f>K143*7500</f>
        <v>0</v>
      </c>
      <c r="L144" s="343" t="s">
        <v>32</v>
      </c>
      <c r="M144" s="1118"/>
      <c r="N144" s="373"/>
      <c r="O144" s="350"/>
      <c r="P144" s="1061"/>
      <c r="Q144" s="67">
        <f>Q143*7500</f>
        <v>0</v>
      </c>
      <c r="R144" s="343" t="s">
        <v>32</v>
      </c>
      <c r="S144" s="1204"/>
      <c r="T144" s="206"/>
      <c r="U144" s="348"/>
      <c r="V144" s="1061"/>
      <c r="W144" s="67">
        <v>0</v>
      </c>
      <c r="X144" s="343" t="s">
        <v>32</v>
      </c>
      <c r="Y144" s="1091"/>
      <c r="Z144" s="206"/>
      <c r="AA144" s="12"/>
      <c r="AB144" s="1061"/>
      <c r="AC144" s="67">
        <v>227620</v>
      </c>
      <c r="AD144" s="343" t="s">
        <v>32</v>
      </c>
      <c r="AE144" s="1204"/>
      <c r="AF144" s="206"/>
      <c r="AG144" s="348"/>
      <c r="AH144" s="1061"/>
      <c r="AI144" s="67">
        <v>272400</v>
      </c>
      <c r="AJ144" s="343" t="s">
        <v>32</v>
      </c>
      <c r="AK144" s="1204"/>
      <c r="AL144" s="206"/>
      <c r="AM144" s="348"/>
      <c r="AN144" s="1061"/>
      <c r="AO144" s="67">
        <v>257140</v>
      </c>
      <c r="AP144" s="343" t="s">
        <v>32</v>
      </c>
      <c r="AQ144" s="1091"/>
      <c r="AR144" s="176"/>
    </row>
    <row r="145" spans="1:44" ht="85.5" customHeight="1" thickTop="1" thickBot="1">
      <c r="A145" s="1207" t="s">
        <v>460</v>
      </c>
      <c r="B145" s="1084"/>
      <c r="C145" s="1084"/>
      <c r="D145" s="565">
        <f>SUM(D8:D142)</f>
        <v>112.18700000000001</v>
      </c>
      <c r="E145" s="566">
        <f>SUM(E8:E142)</f>
        <v>1079992</v>
      </c>
      <c r="F145" s="565">
        <f>SUM(F8:F142)</f>
        <v>112.18700000000001</v>
      </c>
      <c r="G145" s="567">
        <f>SUM(G8:G142)</f>
        <v>1079992</v>
      </c>
      <c r="H145" s="541"/>
      <c r="I145" s="542"/>
      <c r="J145" s="207" t="s">
        <v>3505</v>
      </c>
      <c r="K145" s="28"/>
      <c r="L145" s="27"/>
      <c r="M145" s="70">
        <f>SUM(M8:M144)</f>
        <v>300000</v>
      </c>
      <c r="N145" s="544"/>
      <c r="O145" s="542"/>
      <c r="P145" s="542"/>
      <c r="Q145" s="28"/>
      <c r="R145" s="27"/>
      <c r="S145" s="70">
        <f>SUM(S8:S144)</f>
        <v>600000</v>
      </c>
      <c r="T145" s="541"/>
      <c r="U145" s="542"/>
      <c r="V145" s="542"/>
      <c r="W145" s="28"/>
      <c r="X145" s="27"/>
      <c r="Y145" s="70">
        <f>SUM(Y8:Y144)</f>
        <v>299999.99</v>
      </c>
      <c r="Z145" s="541"/>
      <c r="AA145" s="542"/>
      <c r="AB145" s="542"/>
      <c r="AC145" s="28"/>
      <c r="AD145" s="27"/>
      <c r="AE145" s="70">
        <f>SUM(AE8:AE144)</f>
        <v>349872.04000000004</v>
      </c>
      <c r="AF145" s="541"/>
      <c r="AG145" s="542"/>
      <c r="AH145" s="542"/>
      <c r="AI145" s="28"/>
      <c r="AJ145" s="27"/>
      <c r="AK145" s="70">
        <f>SUM(AK8:AK144)</f>
        <v>547100</v>
      </c>
      <c r="AL145" s="568"/>
      <c r="AM145" s="542"/>
      <c r="AN145" s="542"/>
      <c r="AO145" s="28"/>
      <c r="AP145" s="27"/>
      <c r="AQ145" s="70">
        <f>SUM(AQ8:AQ144)</f>
        <v>300300</v>
      </c>
      <c r="AR145" s="208"/>
    </row>
    <row r="146" spans="1:44" ht="19.5" customHeight="1" thickTop="1">
      <c r="A146" s="1218" t="s">
        <v>1270</v>
      </c>
      <c r="B146" s="1219"/>
      <c r="C146" s="1219"/>
      <c r="D146" s="1219"/>
      <c r="E146" s="1219"/>
      <c r="F146" s="1219"/>
      <c r="G146" s="1219"/>
      <c r="H146" s="1219"/>
      <c r="I146" s="1220"/>
      <c r="J146" s="1206" t="s">
        <v>114</v>
      </c>
      <c r="K146" s="29">
        <f>SUMIF(J8:J141,"=ремонт покрытия проезжей части",K8:K141)</f>
        <v>8.5750000000000011</v>
      </c>
      <c r="L146" s="142" t="s">
        <v>17</v>
      </c>
      <c r="M146" s="1208">
        <f>SUMIF(J8:J141,"=ремонт покрытия проезжей части",M8:M141)+SUMIF(J8:J141,"=ремонт покрытия проезжей части",M9:M142)</f>
        <v>94637.243499999997</v>
      </c>
      <c r="N146" s="74"/>
      <c r="O146" s="30"/>
      <c r="P146" s="1206" t="s">
        <v>114</v>
      </c>
      <c r="Q146" s="29">
        <f>SUMIF(P8:P141,"=ремонт покрытия проезжей части",Q8:Q141)</f>
        <v>30.898</v>
      </c>
      <c r="R146" s="142" t="s">
        <v>17</v>
      </c>
      <c r="S146" s="1208">
        <f>SUMIF(P8:P141,"=ремонт покрытия проезжей части",S8:S141)+SUMIF(P8:P141,"=ремонт",S9:S142)</f>
        <v>486300</v>
      </c>
      <c r="T146" s="31"/>
      <c r="U146" s="30"/>
      <c r="V146" s="1206" t="s">
        <v>114</v>
      </c>
      <c r="W146" s="29">
        <f>SUMIF(V8:V141,"=ремонт покрытия проезжей части",W8:W141)</f>
        <v>1.7789999999999999</v>
      </c>
      <c r="X146" s="142" t="s">
        <v>17</v>
      </c>
      <c r="Y146" s="1208">
        <f>SUMIF(V8:V141,"=ремонт покрытия проезжей части",Y8:Y141)+SUMIF(V8:V141,"=ремонт покрытия проезжей части",Y9:Y142)</f>
        <v>104400</v>
      </c>
      <c r="Z146" s="31"/>
      <c r="AA146" s="30"/>
      <c r="AB146" s="1206" t="s">
        <v>114</v>
      </c>
      <c r="AC146" s="29">
        <f>SUMIF(AB8:AB141,"=ремонт покрытия проезжей части",AC8:AC141)</f>
        <v>0</v>
      </c>
      <c r="AD146" s="142" t="s">
        <v>17</v>
      </c>
      <c r="AE146" s="1208">
        <f>SUMIF(AB8:AB141,"=ремонт покрытия проезжей части",AE8:AE141)+SUMIF(AB8:AB141,"=ремонт покрытия проезжей части",AE9:AE142)</f>
        <v>0</v>
      </c>
      <c r="AF146" s="31"/>
      <c r="AG146" s="30"/>
      <c r="AH146" s="1206" t="s">
        <v>114</v>
      </c>
      <c r="AI146" s="29">
        <f>SUMIF(AH8:AH141,"=ремонт покрытия проезжей части",AI8:AI141)</f>
        <v>0</v>
      </c>
      <c r="AJ146" s="142" t="s">
        <v>17</v>
      </c>
      <c r="AK146" s="1208">
        <f>SUMIF(AH8:AH141,"=ремонт покрытия проезжей части",AK8:AK141)+SUMIF(AH8:AH141,"=ремонт покрытия проезжей части",AK9:AK142)</f>
        <v>0</v>
      </c>
      <c r="AL146" s="31"/>
      <c r="AM146" s="30"/>
      <c r="AN146" s="1206" t="s">
        <v>114</v>
      </c>
      <c r="AO146" s="29">
        <f>SUMIF(AN8:AN141,"=ремонт покрытия проезжей части",AO8:AO141)</f>
        <v>0</v>
      </c>
      <c r="AP146" s="142" t="s">
        <v>17</v>
      </c>
      <c r="AQ146" s="1208">
        <f>SUMIF(AN8:AN141,"=ремонт покрытия проезжей части",AQ8:AQ141)+SUMIF(AN8:AN141,"=ремонт покрытия проезжей части",AQ9:AQ142)</f>
        <v>0</v>
      </c>
      <c r="AR146" s="209"/>
    </row>
    <row r="147" spans="1:44" ht="19.5">
      <c r="A147" s="1221"/>
      <c r="B147" s="1222"/>
      <c r="C147" s="1222"/>
      <c r="D147" s="1222"/>
      <c r="E147" s="1222"/>
      <c r="F147" s="1222"/>
      <c r="G147" s="1222"/>
      <c r="H147" s="1222"/>
      <c r="I147" s="1223"/>
      <c r="J147" s="1072"/>
      <c r="K147" s="32">
        <f>SUMIF(J8:J141,"=ремонт покрытия проезжей части",K9:K142)</f>
        <v>65370.7</v>
      </c>
      <c r="L147" s="38" t="s">
        <v>32</v>
      </c>
      <c r="M147" s="1203"/>
      <c r="N147" s="75"/>
      <c r="O147" s="33"/>
      <c r="P147" s="1072"/>
      <c r="Q147" s="32">
        <f>SUMIF(P8:P141,"=ремонт покрытия проезжей части",Q9:Q142)</f>
        <v>280790.50555104692</v>
      </c>
      <c r="R147" s="38" t="s">
        <v>32</v>
      </c>
      <c r="S147" s="1203"/>
      <c r="T147" s="34"/>
      <c r="U147" s="33"/>
      <c r="V147" s="1072"/>
      <c r="W147" s="32">
        <f>SUMIF(V8:V141,"=ремонт покрытия проезжей части",W9:W142)</f>
        <v>15956</v>
      </c>
      <c r="X147" s="38" t="s">
        <v>32</v>
      </c>
      <c r="Y147" s="1203"/>
      <c r="Z147" s="34"/>
      <c r="AA147" s="33"/>
      <c r="AB147" s="1072"/>
      <c r="AC147" s="32">
        <f>SUMIF(AB8:AB141,"=ремонт покрытия проезжей части",AC9:AC142)</f>
        <v>0</v>
      </c>
      <c r="AD147" s="38" t="s">
        <v>32</v>
      </c>
      <c r="AE147" s="1203"/>
      <c r="AF147" s="34"/>
      <c r="AG147" s="33"/>
      <c r="AH147" s="1072"/>
      <c r="AI147" s="32">
        <f>SUMIF(AH8:AH141,"=ремонт покрытия проезжей части",AI9:AI142)</f>
        <v>0</v>
      </c>
      <c r="AJ147" s="38" t="s">
        <v>32</v>
      </c>
      <c r="AK147" s="1203"/>
      <c r="AL147" s="34"/>
      <c r="AM147" s="33"/>
      <c r="AN147" s="1072"/>
      <c r="AO147" s="32">
        <f>SUMIF(AN8:AN141,"=ремонт покрытия проезжей части",AO9:AO142)</f>
        <v>0</v>
      </c>
      <c r="AP147" s="38" t="s">
        <v>32</v>
      </c>
      <c r="AQ147" s="1203"/>
      <c r="AR147" s="209"/>
    </row>
    <row r="148" spans="1:44" ht="18.75" customHeight="1">
      <c r="A148" s="1221"/>
      <c r="B148" s="1222"/>
      <c r="C148" s="1222"/>
      <c r="D148" s="1222"/>
      <c r="E148" s="1222"/>
      <c r="F148" s="1222"/>
      <c r="G148" s="1222"/>
      <c r="H148" s="1222"/>
      <c r="I148" s="1223"/>
      <c r="J148" s="1071" t="s">
        <v>115</v>
      </c>
      <c r="K148" s="35">
        <f>SUMIF(J8:J141,"=кап. ремонт",K8:K141)</f>
        <v>2.6</v>
      </c>
      <c r="L148" s="38" t="s">
        <v>17</v>
      </c>
      <c r="M148" s="1203">
        <f>SUMIF(J8:J141,"=кап. ремонт",M8:M141)+SUMIF(J8:J141,"=кап. ремонт",M9:M142)</f>
        <v>59358.198130000004</v>
      </c>
      <c r="N148" s="75"/>
      <c r="O148" s="33"/>
      <c r="P148" s="1071" t="s">
        <v>115</v>
      </c>
      <c r="Q148" s="35">
        <f>SUMIF(P8:P141,"=кап. ремонт",Q8:Q141)</f>
        <v>0</v>
      </c>
      <c r="R148" s="38" t="s">
        <v>17</v>
      </c>
      <c r="S148" s="1203">
        <f>SUMIF(P8:P141,"=кап. ремонт",S8:S141)+SUMIF(P8:P141,"=кап. ремонт",S9:S142)</f>
        <v>0</v>
      </c>
      <c r="T148" s="34"/>
      <c r="U148" s="33"/>
      <c r="V148" s="1071" t="s">
        <v>115</v>
      </c>
      <c r="W148" s="35">
        <f>SUMIF(V8:V141,"=кап. ремонт",W8:W141)</f>
        <v>0.2</v>
      </c>
      <c r="X148" s="38" t="s">
        <v>17</v>
      </c>
      <c r="Y148" s="1203">
        <f>SUMIF(V8:V141,"=кап. ремонт",Y8:Y141)+SUMIF(V8:V141,"=кап. ремонт",Y9:Y142)</f>
        <v>10971.79</v>
      </c>
      <c r="Z148" s="34"/>
      <c r="AA148" s="33"/>
      <c r="AB148" s="1071" t="s">
        <v>115</v>
      </c>
      <c r="AC148" s="35">
        <f>SUMIF(AB8:AB141,"=кап. ремонт",AC8:AC141)</f>
        <v>0.37</v>
      </c>
      <c r="AD148" s="38" t="s">
        <v>17</v>
      </c>
      <c r="AE148" s="1203">
        <f>SUMIF(AB8:AB141,"=кап. ремонт",AE8:AE141)+SUMIF(AB8:AB141,"=кап. ремонт",AE9:AE142)</f>
        <v>55300</v>
      </c>
      <c r="AF148" s="34"/>
      <c r="AG148" s="33"/>
      <c r="AH148" s="1071" t="s">
        <v>115</v>
      </c>
      <c r="AI148" s="35">
        <f>SUMIF(AH8:AH141,"=кап. ремонт",AI8:AI141)</f>
        <v>0</v>
      </c>
      <c r="AJ148" s="38" t="s">
        <v>17</v>
      </c>
      <c r="AK148" s="1203">
        <f>SUMIF(AH8:AH141,"=кап. ремонт",AK8:AK141)+SUMIF(AH8:AH141,"=кап. ремонт",AK9:AK142)</f>
        <v>0</v>
      </c>
      <c r="AL148" s="34"/>
      <c r="AM148" s="33"/>
      <c r="AN148" s="1071" t="s">
        <v>115</v>
      </c>
      <c r="AO148" s="35">
        <f>SUMIF(AN8:AN141,"=кап. ремонт",AO8:AO141)</f>
        <v>0</v>
      </c>
      <c r="AP148" s="38" t="s">
        <v>17</v>
      </c>
      <c r="AQ148" s="1203">
        <f>SUMIF(AN8:AN141,"=кап. ремонт",AQ8:AQ141)+SUMIF(AN8:AN141,"=кап. ремонт",AQ9:AQ142)</f>
        <v>0</v>
      </c>
      <c r="AR148" s="209"/>
    </row>
    <row r="149" spans="1:44" ht="19.5">
      <c r="A149" s="1221"/>
      <c r="B149" s="1222"/>
      <c r="C149" s="1222"/>
      <c r="D149" s="1222"/>
      <c r="E149" s="1222"/>
      <c r="F149" s="1222"/>
      <c r="G149" s="1222"/>
      <c r="H149" s="1222"/>
      <c r="I149" s="1223"/>
      <c r="J149" s="1072"/>
      <c r="K149" s="32">
        <f>SUMIF(J8:J141,"=кап. ремонт",K9:K142)</f>
        <v>34024.851243440564</v>
      </c>
      <c r="L149" s="38" t="s">
        <v>32</v>
      </c>
      <c r="M149" s="1203"/>
      <c r="N149" s="75"/>
      <c r="O149" s="33"/>
      <c r="P149" s="1072"/>
      <c r="Q149" s="32">
        <f>SUMIF(P8:P141,"=кап. ремонт",Q9:Q142)</f>
        <v>0</v>
      </c>
      <c r="R149" s="38" t="s">
        <v>32</v>
      </c>
      <c r="S149" s="1203"/>
      <c r="T149" s="34"/>
      <c r="U149" s="33"/>
      <c r="V149" s="1072"/>
      <c r="W149" s="32">
        <f>SUMIF(V8:V141,"=кап. ремонт",W9:W142)</f>
        <v>1600</v>
      </c>
      <c r="X149" s="38" t="s">
        <v>32</v>
      </c>
      <c r="Y149" s="1203"/>
      <c r="Z149" s="34"/>
      <c r="AA149" s="33"/>
      <c r="AB149" s="1072"/>
      <c r="AC149" s="32">
        <f>SUMIF(AB8:AB141,"=кап. ремонт",AC9:AC142)</f>
        <v>3700</v>
      </c>
      <c r="AD149" s="38" t="s">
        <v>32</v>
      </c>
      <c r="AE149" s="1203"/>
      <c r="AF149" s="34"/>
      <c r="AG149" s="33"/>
      <c r="AH149" s="1072"/>
      <c r="AI149" s="32">
        <f>SUMIF(AH8:AH141,"=кап. ремонт",AI9:AI142)</f>
        <v>0</v>
      </c>
      <c r="AJ149" s="38" t="s">
        <v>32</v>
      </c>
      <c r="AK149" s="1203"/>
      <c r="AL149" s="34"/>
      <c r="AM149" s="33"/>
      <c r="AN149" s="1072"/>
      <c r="AO149" s="32">
        <f>SUMIF(AN8:AN141,"=кап. ремонт",AO9:AO142)</f>
        <v>0</v>
      </c>
      <c r="AP149" s="38" t="s">
        <v>32</v>
      </c>
      <c r="AQ149" s="1203"/>
      <c r="AR149" s="209"/>
    </row>
    <row r="150" spans="1:44" ht="18.75" customHeight="1">
      <c r="A150" s="1221"/>
      <c r="B150" s="1222"/>
      <c r="C150" s="1222"/>
      <c r="D150" s="1222"/>
      <c r="E150" s="1222"/>
      <c r="F150" s="1222"/>
      <c r="G150" s="1222"/>
      <c r="H150" s="1222"/>
      <c r="I150" s="1223"/>
      <c r="J150" s="1071" t="s">
        <v>116</v>
      </c>
      <c r="K150" s="35">
        <f>SUMIF(J8:J141,"=реконструкция",K8:K141)</f>
        <v>1.625</v>
      </c>
      <c r="L150" s="38" t="s">
        <v>17</v>
      </c>
      <c r="M150" s="1203">
        <f>SUMIF(J8:J141,"=реконструкция",M8:M141)+SUMIF(J8:J141,"=реконструкция",M9:M142)</f>
        <v>51275.924350000001</v>
      </c>
      <c r="N150" s="75"/>
      <c r="O150" s="33"/>
      <c r="P150" s="1071" t="s">
        <v>116</v>
      </c>
      <c r="Q150" s="35">
        <f>SUMIF(P8:P141,"=реконструкция",Q8:Q141)</f>
        <v>1.9999999999999999E-7</v>
      </c>
      <c r="R150" s="38" t="s">
        <v>17</v>
      </c>
      <c r="S150" s="1203">
        <f>SUMIF(P8:P141,"=реконструкция",S8:S141)+SUMIF(P8:P141,"=реконструкция",S9:S142)</f>
        <v>48700</v>
      </c>
      <c r="T150" s="34"/>
      <c r="U150" s="33"/>
      <c r="V150" s="1071" t="s">
        <v>116</v>
      </c>
      <c r="W150" s="35">
        <f>SUMIF(V8:V141,"=реконструкция",W8:W141)</f>
        <v>0</v>
      </c>
      <c r="X150" s="38" t="s">
        <v>17</v>
      </c>
      <c r="Y150" s="1203">
        <f>SUMIF(V8:V141,"=реконструкция",Y8:Y141)+SUMIF(V8:V141,"=реконструкция",Y9:Y142)</f>
        <v>0</v>
      </c>
      <c r="Z150" s="34"/>
      <c r="AA150" s="33"/>
      <c r="AB150" s="1071" t="s">
        <v>116</v>
      </c>
      <c r="AC150" s="35">
        <f>SUMIF(AB8:AB141,"=реконструкция",AC8:AC141)</f>
        <v>2.5</v>
      </c>
      <c r="AD150" s="38" t="s">
        <v>17</v>
      </c>
      <c r="AE150" s="1203">
        <f>SUMIF(AB8:AB141,"=реконструкция",AE8:AE141)+SUMIF(AB8:AB141,"=реконструкция",AE9:AE142)</f>
        <v>156500</v>
      </c>
      <c r="AF150" s="34"/>
      <c r="AG150" s="33"/>
      <c r="AH150" s="1071" t="s">
        <v>116</v>
      </c>
      <c r="AI150" s="35">
        <f>SUMIF(AH8:AH141,"=реконструкция",AI8:AI141)</f>
        <v>0</v>
      </c>
      <c r="AJ150" s="38" t="s">
        <v>17</v>
      </c>
      <c r="AK150" s="1203">
        <f>SUMIF(AH8:AH141,"=реконструкция",AK8:AK141)+SUMIF(AH8:AH141,"=реконструкция",AK9:AK142)</f>
        <v>0</v>
      </c>
      <c r="AL150" s="34"/>
      <c r="AM150" s="33"/>
      <c r="AN150" s="1071" t="s">
        <v>116</v>
      </c>
      <c r="AO150" s="35">
        <f>SUMIF(AN8:AN141,"=реконструкция",AO8:AO141)</f>
        <v>0</v>
      </c>
      <c r="AP150" s="38" t="s">
        <v>17</v>
      </c>
      <c r="AQ150" s="1203">
        <f>SUMIF(AN8:AN141,"=реконструкция",AQ8:AQ141)+SUMIF(AN8:AN141,"=реконструкция",AQ9:AQ142)</f>
        <v>0</v>
      </c>
      <c r="AR150" s="209"/>
    </row>
    <row r="151" spans="1:44" ht="19.5">
      <c r="A151" s="1221"/>
      <c r="B151" s="1222"/>
      <c r="C151" s="1222"/>
      <c r="D151" s="1222"/>
      <c r="E151" s="1222"/>
      <c r="F151" s="1222"/>
      <c r="G151" s="1222"/>
      <c r="H151" s="1222"/>
      <c r="I151" s="1223"/>
      <c r="J151" s="1072"/>
      <c r="K151" s="36">
        <f>SUMIF(J8:J141,"=реконструкция",K9:K142)</f>
        <v>12022</v>
      </c>
      <c r="L151" s="38" t="s">
        <v>32</v>
      </c>
      <c r="M151" s="1203"/>
      <c r="N151" s="75"/>
      <c r="O151" s="33"/>
      <c r="P151" s="1072"/>
      <c r="Q151" s="36">
        <f>SUMIF(P8:P141,"=реконструкция",Q9:Q142)</f>
        <v>2.0173355481727575E-3</v>
      </c>
      <c r="R151" s="38" t="s">
        <v>32</v>
      </c>
      <c r="S151" s="1203"/>
      <c r="T151" s="34"/>
      <c r="U151" s="33"/>
      <c r="V151" s="1072"/>
      <c r="W151" s="36">
        <f>SUMIF(V8:V141,"=реконструкция",W9:W142)</f>
        <v>0</v>
      </c>
      <c r="X151" s="38" t="s">
        <v>32</v>
      </c>
      <c r="Y151" s="1203"/>
      <c r="Z151" s="34"/>
      <c r="AA151" s="33"/>
      <c r="AB151" s="1072"/>
      <c r="AC151" s="36">
        <f>SUMIF(AB8:AB141,"=реконструкция",AC9:AC142)</f>
        <v>17500</v>
      </c>
      <c r="AD151" s="38" t="s">
        <v>32</v>
      </c>
      <c r="AE151" s="1203"/>
      <c r="AF151" s="34"/>
      <c r="AG151" s="33"/>
      <c r="AH151" s="1072"/>
      <c r="AI151" s="36">
        <f>SUMIF(AH8:AH141,"=реконструкция",AI9:AI142)</f>
        <v>0</v>
      </c>
      <c r="AJ151" s="38" t="s">
        <v>32</v>
      </c>
      <c r="AK151" s="1203"/>
      <c r="AL151" s="34"/>
      <c r="AM151" s="33"/>
      <c r="AN151" s="1072"/>
      <c r="AO151" s="36">
        <f>SUMIF(AN8:AN141,"=реконструкция",AO9:AO142)</f>
        <v>0</v>
      </c>
      <c r="AP151" s="38" t="s">
        <v>32</v>
      </c>
      <c r="AQ151" s="1203"/>
      <c r="AR151" s="209"/>
    </row>
    <row r="152" spans="1:44" ht="19.5" customHeight="1">
      <c r="A152" s="1221"/>
      <c r="B152" s="1222"/>
      <c r="C152" s="1222"/>
      <c r="D152" s="1222"/>
      <c r="E152" s="1222"/>
      <c r="F152" s="1222"/>
      <c r="G152" s="1222"/>
      <c r="H152" s="1222"/>
      <c r="I152" s="1223"/>
      <c r="J152" s="1071" t="s">
        <v>117</v>
      </c>
      <c r="K152" s="35">
        <f>SUMIF(J8:J141,"=строительство",K8:K141)</f>
        <v>1.2030000000000001</v>
      </c>
      <c r="L152" s="38" t="s">
        <v>17</v>
      </c>
      <c r="M152" s="1203">
        <f>SUMIF(J8:J141,"=строительство",M8:M141)+SUMIF(J8:J141,"=строительство",M9:M142)</f>
        <v>94728.634019999998</v>
      </c>
      <c r="N152" s="75"/>
      <c r="O152" s="33"/>
      <c r="P152" s="1071" t="s">
        <v>117</v>
      </c>
      <c r="Q152" s="35">
        <f>SUMIF(P8:P141,"=строительство",Q8:Q141)</f>
        <v>1.3</v>
      </c>
      <c r="R152" s="38" t="s">
        <v>17</v>
      </c>
      <c r="S152" s="1203">
        <f>SUMIF(P8:P141,"=строительство",S8:S141)+SUMIF(P8:P141,"=строительство",S9:S142)</f>
        <v>63500</v>
      </c>
      <c r="T152" s="34"/>
      <c r="U152" s="33"/>
      <c r="V152" s="1071" t="s">
        <v>117</v>
      </c>
      <c r="W152" s="35">
        <f>SUMIF(V8:V141,"=строительство",W8:W141)</f>
        <v>1.89</v>
      </c>
      <c r="X152" s="38" t="s">
        <v>17</v>
      </c>
      <c r="Y152" s="1203">
        <f>SUMIF(V8:V141,"=строительство",Y8:Y141)+SUMIF(V8:V141,"=строительство",Y9:Y142)</f>
        <v>100000</v>
      </c>
      <c r="Z152" s="34"/>
      <c r="AA152" s="33"/>
      <c r="AB152" s="1071" t="s">
        <v>117</v>
      </c>
      <c r="AC152" s="35">
        <f>SUMIF(AB8:AB141,"=строительство",AC8:AC141)</f>
        <v>2.1470000000000002</v>
      </c>
      <c r="AD152" s="38" t="s">
        <v>17</v>
      </c>
      <c r="AE152" s="1203">
        <f>SUMIF(AB8:AB141,"=строительство",AE8:AE141)+SUMIF(AB8:AB141,"=строительство",AE9:AE142)</f>
        <v>38202.04</v>
      </c>
      <c r="AF152" s="34"/>
      <c r="AG152" s="33"/>
      <c r="AH152" s="1071" t="s">
        <v>117</v>
      </c>
      <c r="AI152" s="35">
        <f>SUMIF(AH8:AH141,"=строительство",AI8:AI141)</f>
        <v>0</v>
      </c>
      <c r="AJ152" s="38" t="s">
        <v>17</v>
      </c>
      <c r="AK152" s="1203">
        <f>SUMIF(AH8:AH141,"=строительство",AK8:AK141)+SUMIF(AH8:AH141,"=строительство",AK9:AK142)</f>
        <v>0</v>
      </c>
      <c r="AL152" s="34"/>
      <c r="AM152" s="33"/>
      <c r="AN152" s="1071" t="s">
        <v>117</v>
      </c>
      <c r="AO152" s="35">
        <f>SUMIF(AN8:AN141,"=строительство",AO8:AO141)</f>
        <v>0</v>
      </c>
      <c r="AP152" s="38" t="s">
        <v>17</v>
      </c>
      <c r="AQ152" s="1203">
        <f>SUMIF(AN8:AN141,"=строительство",AQ8:AQ141)+SUMIF(AN8:AN141,"=строительство",AQ9:AQ142)</f>
        <v>0</v>
      </c>
      <c r="AR152" s="209"/>
    </row>
    <row r="153" spans="1:44" ht="19.5">
      <c r="A153" s="1221"/>
      <c r="B153" s="1222"/>
      <c r="C153" s="1222"/>
      <c r="D153" s="1222"/>
      <c r="E153" s="1222"/>
      <c r="F153" s="1222"/>
      <c r="G153" s="1222"/>
      <c r="H153" s="1222"/>
      <c r="I153" s="1223"/>
      <c r="J153" s="1072"/>
      <c r="K153" s="36">
        <f>SUMIF(J8:J141,"=строительство",K9:K142)</f>
        <v>17520</v>
      </c>
      <c r="L153" s="38" t="s">
        <v>32</v>
      </c>
      <c r="M153" s="1203"/>
      <c r="N153" s="75"/>
      <c r="O153" s="33"/>
      <c r="P153" s="1072"/>
      <c r="Q153" s="36">
        <f>SUMIF(P8:P141,"=строительство",Q9:Q142)</f>
        <v>19500</v>
      </c>
      <c r="R153" s="38" t="s">
        <v>32</v>
      </c>
      <c r="S153" s="1203"/>
      <c r="T153" s="34"/>
      <c r="U153" s="33"/>
      <c r="V153" s="1072"/>
      <c r="W153" s="36">
        <f>SUMIF(V8:V141,"=строительство",W9:W142)</f>
        <v>28346</v>
      </c>
      <c r="X153" s="38" t="s">
        <v>32</v>
      </c>
      <c r="Y153" s="1203"/>
      <c r="Z153" s="34"/>
      <c r="AA153" s="33"/>
      <c r="AB153" s="1072"/>
      <c r="AC153" s="36">
        <f>SUMIF(AB8:AB141,"=строительство",AC9:AC142)</f>
        <v>97500</v>
      </c>
      <c r="AD153" s="38" t="s">
        <v>32</v>
      </c>
      <c r="AE153" s="1203"/>
      <c r="AF153" s="34"/>
      <c r="AG153" s="33"/>
      <c r="AH153" s="1072"/>
      <c r="AI153" s="36">
        <f>SUMIF(AH8:AH141,"=строительство",AI9:AI142)</f>
        <v>0</v>
      </c>
      <c r="AJ153" s="38" t="s">
        <v>32</v>
      </c>
      <c r="AK153" s="1203"/>
      <c r="AL153" s="34"/>
      <c r="AM153" s="33"/>
      <c r="AN153" s="1072"/>
      <c r="AO153" s="36">
        <f>SUMIF(AN8:AN141,"=строительство",AO9:AO142)</f>
        <v>0</v>
      </c>
      <c r="AP153" s="38" t="s">
        <v>32</v>
      </c>
      <c r="AQ153" s="1203"/>
      <c r="AR153" s="209"/>
    </row>
    <row r="154" spans="1:44" ht="58.5">
      <c r="A154" s="1221"/>
      <c r="B154" s="1222"/>
      <c r="C154" s="1222"/>
      <c r="D154" s="1222"/>
      <c r="E154" s="1222"/>
      <c r="F154" s="1222"/>
      <c r="G154" s="1222"/>
      <c r="H154" s="1222"/>
      <c r="I154" s="1223"/>
      <c r="J154" s="76" t="s">
        <v>120</v>
      </c>
      <c r="K154" s="37">
        <f>SUMIF(J8:J141,"=устройство светофорных объектов",K8:K141)</f>
        <v>0</v>
      </c>
      <c r="L154" s="38" t="s">
        <v>118</v>
      </c>
      <c r="M154" s="39">
        <f>SUMIF(J8:J141,"=устройство светофорных объектов",M8:M141)</f>
        <v>0</v>
      </c>
      <c r="N154" s="75"/>
      <c r="O154" s="33"/>
      <c r="P154" s="76" t="s">
        <v>120</v>
      </c>
      <c r="Q154" s="37">
        <f>SUMIF(P8:P141,"=устройство светофорных объектов",Q8:Q141)</f>
        <v>30</v>
      </c>
      <c r="R154" s="38" t="s">
        <v>118</v>
      </c>
      <c r="S154" s="39">
        <f>SUMIF(P8:P141,"=устройство светофорных объектов",S8:S141)</f>
        <v>750</v>
      </c>
      <c r="T154" s="34"/>
      <c r="U154" s="33"/>
      <c r="V154" s="76" t="s">
        <v>120</v>
      </c>
      <c r="W154" s="37">
        <f>SUMIF(V8:V141,"=устройство светофорных объектов",W8:W141)</f>
        <v>0</v>
      </c>
      <c r="X154" s="38" t="s">
        <v>118</v>
      </c>
      <c r="Y154" s="39">
        <f>SUMIF(V8:V141,"=устройство светофорных объектов",Y8:Y141)</f>
        <v>0</v>
      </c>
      <c r="Z154" s="34"/>
      <c r="AA154" s="33"/>
      <c r="AB154" s="76" t="s">
        <v>120</v>
      </c>
      <c r="AC154" s="37">
        <f>SUMIF(AB8:AB141,"=устройство светофорных объектов",AC8:AC141)</f>
        <v>6</v>
      </c>
      <c r="AD154" s="38" t="s">
        <v>118</v>
      </c>
      <c r="AE154" s="39">
        <f>SUMIF(AB8:AB141,"=устройство светофорных объектов",AE8:AE141)</f>
        <v>150</v>
      </c>
      <c r="AF154" s="34"/>
      <c r="AG154" s="33"/>
      <c r="AH154" s="76" t="s">
        <v>120</v>
      </c>
      <c r="AI154" s="37">
        <f>SUMIF(AH8:AH141,"=устройство светофорных объектов",AI8:AI141)</f>
        <v>2</v>
      </c>
      <c r="AJ154" s="38" t="s">
        <v>118</v>
      </c>
      <c r="AK154" s="39">
        <f>SUMIF(AH8:AH141,"=устройство светофорных объектов",AK8:AK141)</f>
        <v>50</v>
      </c>
      <c r="AL154" s="34"/>
      <c r="AM154" s="33"/>
      <c r="AN154" s="76" t="s">
        <v>120</v>
      </c>
      <c r="AO154" s="37">
        <f>SUMIF(AN8:AN141,"=устройство светофорных объектов",AO8:AO141)</f>
        <v>0</v>
      </c>
      <c r="AP154" s="38" t="s">
        <v>118</v>
      </c>
      <c r="AQ154" s="39">
        <f>SUMIF(AN8:AN141,"=устройство светофорных объектов",AQ8:AQ141)</f>
        <v>0</v>
      </c>
      <c r="AR154" s="1209"/>
    </row>
    <row r="155" spans="1:44" ht="39">
      <c r="A155" s="1221"/>
      <c r="B155" s="1222"/>
      <c r="C155" s="1222"/>
      <c r="D155" s="1222"/>
      <c r="E155" s="1222"/>
      <c r="F155" s="1222"/>
      <c r="G155" s="1222"/>
      <c r="H155" s="1222"/>
      <c r="I155" s="1223"/>
      <c r="J155" s="314" t="s">
        <v>462</v>
      </c>
      <c r="K155" s="37">
        <f>SUMIF(J8:J141,"=нанесение разметки",K8:K141)</f>
        <v>0</v>
      </c>
      <c r="L155" s="38"/>
      <c r="M155" s="39">
        <f>SUMIF(J9:J142,"=нанесение разметки",M9:M142)</f>
        <v>0</v>
      </c>
      <c r="N155" s="75"/>
      <c r="O155" s="33"/>
      <c r="P155" s="314" t="s">
        <v>462</v>
      </c>
      <c r="Q155" s="37">
        <f>SUMIF(P8:P141,"=нанесение разметки",Q8:Q141)</f>
        <v>0</v>
      </c>
      <c r="R155" s="38"/>
      <c r="S155" s="39">
        <f>SUMIF(P9:P142,"=нанесение разметки",S9:S142)</f>
        <v>0</v>
      </c>
      <c r="T155" s="34"/>
      <c r="U155" s="33"/>
      <c r="V155" s="314" t="s">
        <v>462</v>
      </c>
      <c r="W155" s="37">
        <f>SUMIF(V8:V141,"=нанесение разметки",W8:W141)</f>
        <v>0</v>
      </c>
      <c r="X155" s="38"/>
      <c r="Y155" s="39">
        <f>SUMIF(V9:V142,"=нанесение разметки",Y9:Y142)</f>
        <v>0</v>
      </c>
      <c r="Z155" s="34"/>
      <c r="AA155" s="33"/>
      <c r="AB155" s="314" t="s">
        <v>462</v>
      </c>
      <c r="AC155" s="37">
        <f>SUMIF(AB8:AB141,"=нанесение разметки",AC8:AC141)</f>
        <v>0</v>
      </c>
      <c r="AD155" s="38"/>
      <c r="AE155" s="39">
        <f>SUMIF(AB9:AB142,"=нанесение разметки",AE9:AE142)</f>
        <v>0</v>
      </c>
      <c r="AF155" s="34"/>
      <c r="AG155" s="33"/>
      <c r="AH155" s="314" t="s">
        <v>462</v>
      </c>
      <c r="AI155" s="37">
        <f>SUMIF(AH8:AH141,"=нанесение разметки",AI8:AI141)</f>
        <v>0</v>
      </c>
      <c r="AJ155" s="38"/>
      <c r="AK155" s="39">
        <f>SUMIF(AH9:AH142,"=нанесение разметки",AK9:AK142)</f>
        <v>0</v>
      </c>
      <c r="AL155" s="34"/>
      <c r="AM155" s="33"/>
      <c r="AN155" s="314" t="s">
        <v>462</v>
      </c>
      <c r="AO155" s="37">
        <f>SUMIF(AN8:AN141,"=нанесение разметки",AO8:AO141)</f>
        <v>0</v>
      </c>
      <c r="AP155" s="38"/>
      <c r="AQ155" s="39">
        <f>SUMIF(AN9:AN142,"=нанесение разметки",AQ9:AQ142)</f>
        <v>0</v>
      </c>
      <c r="AR155" s="1209"/>
    </row>
    <row r="156" spans="1:44" ht="58.5">
      <c r="A156" s="1221"/>
      <c r="B156" s="1222"/>
      <c r="C156" s="1222"/>
      <c r="D156" s="1222"/>
      <c r="E156" s="1222"/>
      <c r="F156" s="1222"/>
      <c r="G156" s="1222"/>
      <c r="H156" s="1222"/>
      <c r="I156" s="1223"/>
      <c r="J156" s="304" t="s">
        <v>93</v>
      </c>
      <c r="K156" s="37">
        <f>SUMIF(J8:J141,"=установка дорожных знаков",K8:K141)</f>
        <v>0</v>
      </c>
      <c r="L156" s="38" t="s">
        <v>118</v>
      </c>
      <c r="M156" s="39">
        <f>SUMIF(J8:J141,"=установка дорожных знаков",M8:M141)</f>
        <v>0</v>
      </c>
      <c r="N156" s="75"/>
      <c r="O156" s="33"/>
      <c r="P156" s="304" t="s">
        <v>93</v>
      </c>
      <c r="Q156" s="37">
        <f>SUMIF(P8:P141,"=установка дорожных знаков",Q8:Q141)</f>
        <v>60</v>
      </c>
      <c r="R156" s="38" t="s">
        <v>118</v>
      </c>
      <c r="S156" s="39">
        <f>SUMIF(P8:P141,"=установка дорожных знаков",S8:S141)</f>
        <v>750</v>
      </c>
      <c r="T156" s="34"/>
      <c r="U156" s="33"/>
      <c r="V156" s="304" t="s">
        <v>93</v>
      </c>
      <c r="W156" s="37">
        <f>SUMIF(V8:V141,"=установка дорожных знаков",W8:W141)</f>
        <v>0</v>
      </c>
      <c r="X156" s="38" t="s">
        <v>118</v>
      </c>
      <c r="Y156" s="39">
        <f>SUMIF(V8:V141,"=установка дорожных знаков",Y8:Y141)</f>
        <v>0</v>
      </c>
      <c r="Z156" s="34"/>
      <c r="AA156" s="33"/>
      <c r="AB156" s="304" t="s">
        <v>93</v>
      </c>
      <c r="AC156" s="37">
        <f>SUMIF(AB8:AB141,"=установка дорожных знаков",AC8:AC141)</f>
        <v>0</v>
      </c>
      <c r="AD156" s="38" t="s">
        <v>118</v>
      </c>
      <c r="AE156" s="39">
        <f>SUMIF(AB8:AB141,"=установка дорожных знаков",AE8:AE141)</f>
        <v>0</v>
      </c>
      <c r="AF156" s="34"/>
      <c r="AG156" s="33"/>
      <c r="AH156" s="304" t="s">
        <v>93</v>
      </c>
      <c r="AI156" s="37">
        <f>SUMIF(AH8:AH141,"=установка дорожных знаков",AI8:AI141)</f>
        <v>28</v>
      </c>
      <c r="AJ156" s="38" t="s">
        <v>118</v>
      </c>
      <c r="AK156" s="39">
        <f>SUMIF(AH8:AH141,"=установка дорожных знаков",AK8:AK141)</f>
        <v>350</v>
      </c>
      <c r="AL156" s="34"/>
      <c r="AM156" s="33"/>
      <c r="AN156" s="304" t="s">
        <v>93</v>
      </c>
      <c r="AO156" s="37">
        <f>SUMIF(AN8:AN141,"=установка дорожных знаков",AO8:AO141)</f>
        <v>24</v>
      </c>
      <c r="AP156" s="38" t="s">
        <v>118</v>
      </c>
      <c r="AQ156" s="39">
        <f>SUMIF(AN8:AN141,"=установка дорожных знаков",AQ8:AQ141)</f>
        <v>300</v>
      </c>
      <c r="AR156" s="1209"/>
    </row>
    <row r="157" spans="1:44" ht="58.5">
      <c r="A157" s="1221"/>
      <c r="B157" s="1222"/>
      <c r="C157" s="1222"/>
      <c r="D157" s="1222"/>
      <c r="E157" s="1222"/>
      <c r="F157" s="1222"/>
      <c r="G157" s="1222"/>
      <c r="H157" s="1222"/>
      <c r="I157" s="1223"/>
      <c r="J157" s="76" t="s">
        <v>49</v>
      </c>
      <c r="K157" s="37">
        <f>SUMIF(J8:J141,"=установка барьерного ограждения",K8:K141)</f>
        <v>0</v>
      </c>
      <c r="L157" s="38" t="s">
        <v>2681</v>
      </c>
      <c r="M157" s="39">
        <f>SUMIF(J8:J141,"=установка барьерного ограждения",M8:M141)</f>
        <v>0</v>
      </c>
      <c r="N157" s="75"/>
      <c r="O157" s="33"/>
      <c r="P157" s="76" t="s">
        <v>49</v>
      </c>
      <c r="Q157" s="37">
        <f>SUMIF(P8:P141,"=установка барьерного ограждения",Q8:Q141)</f>
        <v>0</v>
      </c>
      <c r="R157" s="38" t="s">
        <v>2681</v>
      </c>
      <c r="S157" s="39">
        <f>SUMIF(P8:P141,"=установка барьерного ограждения",S8:S141)</f>
        <v>0</v>
      </c>
      <c r="T157" s="34"/>
      <c r="U157" s="33"/>
      <c r="V157" s="76" t="s">
        <v>49</v>
      </c>
      <c r="W157" s="37">
        <f>SUMIF(V8:V141,"=установка барьерного ограждения",W8:W141)</f>
        <v>0</v>
      </c>
      <c r="X157" s="38" t="s">
        <v>2681</v>
      </c>
      <c r="Y157" s="39">
        <f>SUMIF(V8:V141,"=установка барьерного ограждения",Y8:Y141)</f>
        <v>0</v>
      </c>
      <c r="Z157" s="34"/>
      <c r="AA157" s="33"/>
      <c r="AB157" s="76" t="s">
        <v>49</v>
      </c>
      <c r="AC157" s="37">
        <f>SUMIF(AB8:AB141,"=установка барьерного ограждения",AC8:AC141)</f>
        <v>0</v>
      </c>
      <c r="AD157" s="38" t="s">
        <v>2681</v>
      </c>
      <c r="AE157" s="39">
        <f>SUMIF(AB8:AB141,"=установка барьерного ограждения",AE8:AE141)</f>
        <v>0</v>
      </c>
      <c r="AF157" s="34"/>
      <c r="AG157" s="33"/>
      <c r="AH157" s="76" t="s">
        <v>49</v>
      </c>
      <c r="AI157" s="37">
        <f>SUMIF(AH8:AH141,"=установка барьерного ограждения",AI8:AI141)</f>
        <v>0</v>
      </c>
      <c r="AJ157" s="38" t="s">
        <v>2681</v>
      </c>
      <c r="AK157" s="39">
        <f>SUMIF(AH8:AH141,"=установка барьерного ограждения",AK8:AK141)</f>
        <v>0</v>
      </c>
      <c r="AL157" s="34"/>
      <c r="AM157" s="33"/>
      <c r="AN157" s="76" t="s">
        <v>49</v>
      </c>
      <c r="AO157" s="37">
        <f>SUMIF(AN8:AN141,"=установка барьерного ограждения",AO8:AO141)</f>
        <v>0</v>
      </c>
      <c r="AP157" s="38" t="s">
        <v>2681</v>
      </c>
      <c r="AQ157" s="39">
        <f>SUMIF(AN8:AN141,"=установка барьерного ограждения",AQ8:AQ141)</f>
        <v>0</v>
      </c>
      <c r="AR157" s="209"/>
    </row>
    <row r="158" spans="1:44" ht="38.25" customHeight="1">
      <c r="A158" s="1221"/>
      <c r="B158" s="1222"/>
      <c r="C158" s="1222"/>
      <c r="D158" s="1222"/>
      <c r="E158" s="1222"/>
      <c r="F158" s="1222"/>
      <c r="G158" s="1222"/>
      <c r="H158" s="1222"/>
      <c r="I158" s="1223"/>
      <c r="J158" s="76" t="s">
        <v>68</v>
      </c>
      <c r="K158" s="37">
        <f>SUMIF(J8:J141,"=устройство освещения",K8:K141)</f>
        <v>0</v>
      </c>
      <c r="L158" s="38" t="s">
        <v>2681</v>
      </c>
      <c r="M158" s="39">
        <f>SUMIF(J8:J141,"=устройство освещения",M8:M141)</f>
        <v>0</v>
      </c>
      <c r="N158" s="75"/>
      <c r="O158" s="33"/>
      <c r="P158" s="76" t="s">
        <v>68</v>
      </c>
      <c r="Q158" s="37">
        <f>SUMIF(P8:P141,"=устройство освещения",Q8:Q141)</f>
        <v>0</v>
      </c>
      <c r="R158" s="38" t="s">
        <v>2681</v>
      </c>
      <c r="S158" s="39">
        <f>SUMIF(P8:P141,"=устройство освещения",S8:S141)</f>
        <v>0</v>
      </c>
      <c r="T158" s="34"/>
      <c r="U158" s="33"/>
      <c r="V158" s="76" t="s">
        <v>68</v>
      </c>
      <c r="W158" s="37">
        <f>SUMIF(V8:V141,"=устройство освещения",W8:W141)</f>
        <v>0</v>
      </c>
      <c r="X158" s="38" t="s">
        <v>2681</v>
      </c>
      <c r="Y158" s="39">
        <f>SUMIF(V8:V141,"=устройство освещения",Y8:Y141)</f>
        <v>0</v>
      </c>
      <c r="Z158" s="34"/>
      <c r="AA158" s="33"/>
      <c r="AB158" s="76" t="s">
        <v>68</v>
      </c>
      <c r="AC158" s="37">
        <f>SUMIF(AB8:AB141,"=устройство освещения",AC8:AC141)</f>
        <v>0</v>
      </c>
      <c r="AD158" s="38" t="s">
        <v>2681</v>
      </c>
      <c r="AE158" s="39">
        <f>SUMIF(AB8:AB141,"=устройство освещения",AE8:AE141)</f>
        <v>0</v>
      </c>
      <c r="AF158" s="34"/>
      <c r="AG158" s="33"/>
      <c r="AH158" s="76" t="s">
        <v>68</v>
      </c>
      <c r="AI158" s="37">
        <f>SUMIF(AH8:AH141,"=устройство освещения",AI8:AI141)</f>
        <v>0</v>
      </c>
      <c r="AJ158" s="38" t="s">
        <v>2681</v>
      </c>
      <c r="AK158" s="39">
        <f>SUMIF(AH8:AH141,"=устройство освещения",AK8:AK141)</f>
        <v>0</v>
      </c>
      <c r="AL158" s="34"/>
      <c r="AM158" s="33"/>
      <c r="AN158" s="76" t="s">
        <v>68</v>
      </c>
      <c r="AO158" s="37">
        <f>SUMIF(AN8:AN141,"=устройство освещения",AO8:AO141)</f>
        <v>0</v>
      </c>
      <c r="AP158" s="38" t="s">
        <v>2681</v>
      </c>
      <c r="AQ158" s="39">
        <f>SUMIF(AN8:AN141,"=устройство освещения",AQ8:AQ141)</f>
        <v>0</v>
      </c>
      <c r="AR158" s="209"/>
    </row>
    <row r="159" spans="1:44" ht="58.5">
      <c r="A159" s="1221"/>
      <c r="B159" s="1222"/>
      <c r="C159" s="1222"/>
      <c r="D159" s="1222"/>
      <c r="E159" s="1222"/>
      <c r="F159" s="1222"/>
      <c r="G159" s="1222"/>
      <c r="H159" s="1222"/>
      <c r="I159" s="1223"/>
      <c r="J159" s="76" t="s">
        <v>465</v>
      </c>
      <c r="K159" s="37">
        <f>SUMIF(J8:J141,"=установка направляющих устройств",K8:K141)</f>
        <v>0</v>
      </c>
      <c r="L159" s="38" t="s">
        <v>2681</v>
      </c>
      <c r="M159" s="39">
        <f>SUMIF(J8:J141,"=установка направляющих устройств",M8:M141)</f>
        <v>0</v>
      </c>
      <c r="N159" s="75"/>
      <c r="O159" s="33"/>
      <c r="P159" s="76" t="s">
        <v>465</v>
      </c>
      <c r="Q159" s="37">
        <f>SUMIF(P8:P141,"=установка направляющих устройств",Q8:Q141)</f>
        <v>0</v>
      </c>
      <c r="R159" s="38" t="s">
        <v>2681</v>
      </c>
      <c r="S159" s="39">
        <f>SUMIF(P8:P141,"=установка направляющих устройств",S8:S141)</f>
        <v>0</v>
      </c>
      <c r="T159" s="34"/>
      <c r="U159" s="33"/>
      <c r="V159" s="76" t="s">
        <v>465</v>
      </c>
      <c r="W159" s="37">
        <f>SUMIF(V8:V141,"=установка направляющих устройств",W8:W141)</f>
        <v>0</v>
      </c>
      <c r="X159" s="38" t="s">
        <v>2681</v>
      </c>
      <c r="Y159" s="39">
        <f>SUMIF(V8:V141,"=установка направляющих устройств",Y8:Y141)</f>
        <v>0</v>
      </c>
      <c r="Z159" s="34"/>
      <c r="AA159" s="33"/>
      <c r="AB159" s="76" t="s">
        <v>465</v>
      </c>
      <c r="AC159" s="37">
        <f>SUMIF(AB8:AB141,"=установка направляющих устройств",AC8:AC141)</f>
        <v>0</v>
      </c>
      <c r="AD159" s="38" t="s">
        <v>2681</v>
      </c>
      <c r="AE159" s="39">
        <f>SUMIF(AB8:AB141,"=установка направляющих устройств",AE8:AE141)</f>
        <v>0</v>
      </c>
      <c r="AF159" s="34"/>
      <c r="AG159" s="33"/>
      <c r="AH159" s="76" t="s">
        <v>465</v>
      </c>
      <c r="AI159" s="37">
        <f>SUMIF(AH8:AH141,"=установка направляющих устройств",AI8:AI141)</f>
        <v>0</v>
      </c>
      <c r="AJ159" s="38" t="s">
        <v>2681</v>
      </c>
      <c r="AK159" s="39">
        <f>SUMIF(AH8:AH141,"=установка направляющих устройств",AK8:AK141)</f>
        <v>0</v>
      </c>
      <c r="AL159" s="34"/>
      <c r="AM159" s="33"/>
      <c r="AN159" s="76" t="s">
        <v>465</v>
      </c>
      <c r="AO159" s="37">
        <f>SUMIF(AN8:AN141,"=установка направляющих устройств",AO8:AO141)</f>
        <v>0</v>
      </c>
      <c r="AP159" s="38" t="s">
        <v>2681</v>
      </c>
      <c r="AQ159" s="39">
        <f>SUMIF(AN8:AN141,"=установка направляющих устройств",AQ8:AQ141)</f>
        <v>0</v>
      </c>
      <c r="AR159" s="209"/>
    </row>
    <row r="160" spans="1:44" ht="39">
      <c r="A160" s="1221"/>
      <c r="B160" s="1222"/>
      <c r="C160" s="1222"/>
      <c r="D160" s="1222"/>
      <c r="E160" s="1222"/>
      <c r="F160" s="1222"/>
      <c r="G160" s="1222"/>
      <c r="H160" s="1222"/>
      <c r="I160" s="1223"/>
      <c r="J160" s="76" t="s">
        <v>112</v>
      </c>
      <c r="K160" s="37">
        <f>SUMIF(J8:J143,"=укладка слоев износа",K8:K143)</f>
        <v>0</v>
      </c>
      <c r="L160" s="38" t="s">
        <v>32</v>
      </c>
      <c r="M160" s="39">
        <f>SUMIF(J8:J143,"=укладка слоев износа",M8:M143)+SUMIF(J8:J143,"=укладка слоев износа",M9:M144)</f>
        <v>0</v>
      </c>
      <c r="N160" s="75"/>
      <c r="O160" s="33"/>
      <c r="P160" s="76" t="s">
        <v>112</v>
      </c>
      <c r="Q160" s="37">
        <f>SUMIF(P8:P143,"=укладка слоев износа",Q8:Q143)</f>
        <v>0</v>
      </c>
      <c r="R160" s="38" t="s">
        <v>32</v>
      </c>
      <c r="S160" s="39">
        <f>SUMIF(P8:P143,"=укладка слоев износа",S8:S143)+SUMIF(P8:P143,"=укладка слоев износа",S9:S144)</f>
        <v>0</v>
      </c>
      <c r="T160" s="34"/>
      <c r="U160" s="33"/>
      <c r="V160" s="76" t="s">
        <v>112</v>
      </c>
      <c r="W160" s="37">
        <f>SUMIF(V8:V143,"=укладка слоев износа",W8:W143)</f>
        <v>16.899999999999999</v>
      </c>
      <c r="X160" s="38" t="s">
        <v>32</v>
      </c>
      <c r="Y160" s="39">
        <f>SUMIF(V8:V143,"=укладка слоев износа",Y8:Y143)+SUMIF(V8:V143,"=укладка слоев износа",Y9:Y144)</f>
        <v>84628.2</v>
      </c>
      <c r="Z160" s="34"/>
      <c r="AA160" s="33"/>
      <c r="AB160" s="76" t="s">
        <v>112</v>
      </c>
      <c r="AC160" s="37">
        <f>SUMIF(AB8:AB143,"=укладка слоев износа",AC8:AC143)</f>
        <v>20</v>
      </c>
      <c r="AD160" s="38" t="s">
        <v>32</v>
      </c>
      <c r="AE160" s="39">
        <f>SUMIF(AB8:AB143,"=укладка слоев износа",AE8:AE143)+SUMIF(AB8:AB143,"=укладка слоев износа",AE9:AE144)</f>
        <v>99720</v>
      </c>
      <c r="AF160" s="34"/>
      <c r="AG160" s="33"/>
      <c r="AH160" s="76" t="s">
        <v>112</v>
      </c>
      <c r="AI160" s="37">
        <f>SUMIF(AH8:AH143,"=укладка слоев износа",AI8:AI143)</f>
        <v>22.74</v>
      </c>
      <c r="AJ160" s="38" t="s">
        <v>32</v>
      </c>
      <c r="AK160" s="39">
        <f>SUMIF(AH8:AH143,"=укладка слоев износа",AK8:AK143)+SUMIF(AH8:AH143,"=укладка слоев износа",AK9:AK144)</f>
        <v>546700</v>
      </c>
      <c r="AL160" s="34"/>
      <c r="AM160" s="33"/>
      <c r="AN160" s="76" t="s">
        <v>112</v>
      </c>
      <c r="AO160" s="37">
        <f>SUMIF(AN8:AN143,"=укладка слоев износа",AO8:AO143)</f>
        <v>21.4</v>
      </c>
      <c r="AP160" s="38" t="s">
        <v>32</v>
      </c>
      <c r="AQ160" s="39">
        <f>SUMIF(AN8:AN143,"=укладка слоев износа",AQ8:AQ143)+SUMIF(AN8:AN143,"=укладка слоев износа",AQ9:AQ144)</f>
        <v>300000</v>
      </c>
      <c r="AR160" s="209"/>
    </row>
    <row r="161" spans="1:44" ht="58.5">
      <c r="A161" s="1221"/>
      <c r="B161" s="1222"/>
      <c r="C161" s="1222"/>
      <c r="D161" s="1222"/>
      <c r="E161" s="1222"/>
      <c r="F161" s="1222"/>
      <c r="G161" s="1222"/>
      <c r="H161" s="1222"/>
      <c r="I161" s="1223"/>
      <c r="J161" s="76" t="s">
        <v>466</v>
      </c>
      <c r="K161" s="37">
        <f>SUMIF(J8:J141,"=шероховатая поверхностная обработка",K8:K141)</f>
        <v>0</v>
      </c>
      <c r="L161" s="38" t="s">
        <v>32</v>
      </c>
      <c r="M161" s="39">
        <f>SUMIF(J8:J141,"=шероховатая поверхностная обработка",M8:M141)</f>
        <v>0</v>
      </c>
      <c r="N161" s="75"/>
      <c r="O161" s="33"/>
      <c r="P161" s="76" t="s">
        <v>466</v>
      </c>
      <c r="Q161" s="37">
        <f>SUMIF(P8:P141,"=шероховатая поверхностная обработка",Q8:Q141)</f>
        <v>0</v>
      </c>
      <c r="R161" s="38" t="s">
        <v>32</v>
      </c>
      <c r="S161" s="39">
        <f>SUMIF(P8:P141,"=шероховатая поверхностная обработка",S8:S141)</f>
        <v>0</v>
      </c>
      <c r="T161" s="34"/>
      <c r="U161" s="33"/>
      <c r="V161" s="76" t="s">
        <v>466</v>
      </c>
      <c r="W161" s="37">
        <f>SUMIF(V8:V141,"=шероховатая поверхностная обработка",W8:W141)</f>
        <v>0</v>
      </c>
      <c r="X161" s="38" t="s">
        <v>32</v>
      </c>
      <c r="Y161" s="39">
        <f>SUMIF(V8:V141,"=шероховатая поверхностная обработка",Y8:Y141)</f>
        <v>0</v>
      </c>
      <c r="Z161" s="34"/>
      <c r="AA161" s="33"/>
      <c r="AB161" s="76" t="s">
        <v>466</v>
      </c>
      <c r="AC161" s="37">
        <f>SUMIF(AB8:AB141,"=шероховатая поверхностная обработка",AC8:AC141)</f>
        <v>0</v>
      </c>
      <c r="AD161" s="38" t="s">
        <v>32</v>
      </c>
      <c r="AE161" s="39">
        <f>SUMIF(AB8:AB141,"=шероховатая поверхностная обработка",AE8:AE141)</f>
        <v>0</v>
      </c>
      <c r="AF161" s="34"/>
      <c r="AG161" s="33"/>
      <c r="AH161" s="76" t="s">
        <v>466</v>
      </c>
      <c r="AI161" s="37">
        <f>SUMIF(AH8:AH141,"=шероховатая поверхностная обработка",AI8:AI141)</f>
        <v>0</v>
      </c>
      <c r="AJ161" s="38" t="s">
        <v>32</v>
      </c>
      <c r="AK161" s="39">
        <f>SUMIF(AH8:AH141,"=шероховатая поверхностная обработка",AK8:AK141)</f>
        <v>0</v>
      </c>
      <c r="AL161" s="34"/>
      <c r="AM161" s="33"/>
      <c r="AN161" s="76" t="s">
        <v>466</v>
      </c>
      <c r="AO161" s="37">
        <f>SUMIF(AN8:AN141,"=шероховатая поверхностная обработка",AO8:AO141)</f>
        <v>0</v>
      </c>
      <c r="AP161" s="38" t="s">
        <v>32</v>
      </c>
      <c r="AQ161" s="39">
        <f>SUMIF(AN8:AN141,"=шероховатая поверхностная обработка",AQ8:AQ141)</f>
        <v>0</v>
      </c>
      <c r="AR161" s="209"/>
    </row>
    <row r="162" spans="1:44" ht="45.75" customHeight="1">
      <c r="A162" s="1221"/>
      <c r="B162" s="1222"/>
      <c r="C162" s="1222"/>
      <c r="D162" s="1222"/>
      <c r="E162" s="1222"/>
      <c r="F162" s="1222"/>
      <c r="G162" s="1222"/>
      <c r="H162" s="1222"/>
      <c r="I162" s="1223"/>
      <c r="J162" s="304" t="s">
        <v>2682</v>
      </c>
      <c r="K162" s="37">
        <f>SUMIF(J8:J141,"=иные виды работ",K8:K141)</f>
        <v>0</v>
      </c>
      <c r="L162" s="40" t="s">
        <v>2683</v>
      </c>
      <c r="M162" s="39">
        <f>SUMIF(J8:J141,"=иные виды работ",M8:M141)</f>
        <v>0</v>
      </c>
      <c r="N162" s="75"/>
      <c r="O162" s="33"/>
      <c r="P162" s="304" t="s">
        <v>2682</v>
      </c>
      <c r="Q162" s="37">
        <f>SUMIF(P8:P141,"=иные виды работ",Q8:Q141)</f>
        <v>0</v>
      </c>
      <c r="R162" s="40" t="s">
        <v>2683</v>
      </c>
      <c r="S162" s="39">
        <f>SUMIF(P8:P141,"=иные виды работ",S8:S141)</f>
        <v>0</v>
      </c>
      <c r="T162" s="34"/>
      <c r="U162" s="33"/>
      <c r="V162" s="304" t="s">
        <v>2682</v>
      </c>
      <c r="W162" s="37">
        <f>SUMIF(V8:V141,"=иные виды работ",W8:W141)</f>
        <v>0</v>
      </c>
      <c r="X162" s="40" t="s">
        <v>2683</v>
      </c>
      <c r="Y162" s="39">
        <f>SUMIF(V8:V141,"=иные виды работ",Y8:Y141)</f>
        <v>0</v>
      </c>
      <c r="Z162" s="34"/>
      <c r="AA162" s="33"/>
      <c r="AB162" s="304" t="s">
        <v>2682</v>
      </c>
      <c r="AC162" s="37">
        <f>SUMIF(AB8:AB141,"=иные виды работ",AC8:AC141)</f>
        <v>0</v>
      </c>
      <c r="AD162" s="40" t="s">
        <v>2683</v>
      </c>
      <c r="AE162" s="39">
        <f>SUMIF(AB8:AB141,"=иные виды работ",AE8:AE141)</f>
        <v>0</v>
      </c>
      <c r="AF162" s="34"/>
      <c r="AG162" s="33"/>
      <c r="AH162" s="304" t="s">
        <v>2682</v>
      </c>
      <c r="AI162" s="37">
        <f>SUMIF(AH8:AH141,"=иные виды работ",AI8:AI141)</f>
        <v>0</v>
      </c>
      <c r="AJ162" s="40" t="s">
        <v>2683</v>
      </c>
      <c r="AK162" s="39">
        <f>SUMIF(AH8:AH141,"=иные виды работ",AK8:AK141)</f>
        <v>0</v>
      </c>
      <c r="AL162" s="34"/>
      <c r="AM162" s="33"/>
      <c r="AN162" s="304" t="s">
        <v>2682</v>
      </c>
      <c r="AO162" s="37">
        <f>SUMIF(AN8:AN141,"=иные виды работ",AO8:AO141)</f>
        <v>0</v>
      </c>
      <c r="AP162" s="40" t="s">
        <v>2683</v>
      </c>
      <c r="AQ162" s="39">
        <f>SUMIF(AN8:AN141,"=иные виды работ",AQ8:AQ141)</f>
        <v>0</v>
      </c>
      <c r="AR162" s="209"/>
    </row>
    <row r="163" spans="1:44" ht="19.5">
      <c r="A163" s="210" t="s">
        <v>453</v>
      </c>
      <c r="B163" s="211"/>
      <c r="C163" s="210"/>
      <c r="D163" s="212"/>
      <c r="E163" s="213"/>
      <c r="F163" s="212"/>
      <c r="G163" s="214"/>
      <c r="H163" s="211"/>
      <c r="I163" s="211"/>
      <c r="J163" s="211"/>
      <c r="K163" s="215"/>
      <c r="L163" s="216"/>
      <c r="M163" s="214"/>
      <c r="N163" s="211"/>
      <c r="O163" s="211"/>
      <c r="P163" s="211"/>
      <c r="Q163" s="217"/>
      <c r="R163" s="211"/>
      <c r="S163" s="218"/>
      <c r="T163" s="210"/>
      <c r="U163" s="210"/>
      <c r="V163" s="210"/>
      <c r="W163" s="219"/>
      <c r="X163" s="210"/>
      <c r="Y163" s="220"/>
      <c r="Z163" s="210"/>
      <c r="AA163" s="210"/>
      <c r="AB163" s="210"/>
      <c r="AC163" s="219"/>
      <c r="AD163" s="107"/>
      <c r="AE163" s="221"/>
      <c r="AF163" s="107"/>
      <c r="AG163" s="222"/>
      <c r="AH163" s="222"/>
      <c r="AI163" s="223"/>
      <c r="AJ163" s="222"/>
      <c r="AK163" s="224"/>
      <c r="AL163" s="222"/>
      <c r="AM163" s="222"/>
      <c r="AN163" s="222"/>
      <c r="AO163" s="223"/>
      <c r="AP163" s="222"/>
      <c r="AQ163" s="224"/>
      <c r="AR163" s="225"/>
    </row>
    <row r="164" spans="1:44" ht="19.5">
      <c r="A164" s="86" t="s">
        <v>459</v>
      </c>
      <c r="B164" s="86"/>
      <c r="C164" s="86"/>
      <c r="D164" s="86"/>
      <c r="E164" s="86"/>
      <c r="F164" s="86"/>
      <c r="G164" s="86"/>
      <c r="H164" s="86"/>
      <c r="I164" s="86"/>
      <c r="J164" s="86"/>
      <c r="K164" s="89"/>
      <c r="L164" s="86"/>
      <c r="M164" s="86"/>
      <c r="N164" s="86"/>
      <c r="O164" s="86"/>
      <c r="P164" s="86"/>
      <c r="Q164" s="86"/>
      <c r="R164" s="86"/>
      <c r="S164" s="86"/>
      <c r="T164" s="86"/>
      <c r="U164" s="86"/>
      <c r="V164" s="86"/>
      <c r="W164" s="86"/>
      <c r="X164" s="86"/>
      <c r="Y164" s="86"/>
      <c r="Z164" s="86"/>
      <c r="AA164" s="86"/>
      <c r="AB164" s="86"/>
      <c r="AC164" s="86"/>
      <c r="AD164" s="86"/>
      <c r="AE164" s="86"/>
      <c r="AF164" s="86"/>
      <c r="AG164" s="86"/>
      <c r="AH164" s="86"/>
      <c r="AI164" s="86"/>
      <c r="AJ164" s="86"/>
      <c r="AK164" s="86"/>
      <c r="AL164" s="86"/>
      <c r="AM164" s="86"/>
      <c r="AN164" s="86"/>
      <c r="AO164" s="86"/>
      <c r="AP164" s="86"/>
      <c r="AQ164" s="86"/>
      <c r="AR164" s="86"/>
    </row>
    <row r="165" spans="1:44" ht="18.75">
      <c r="A165" s="77">
        <v>1</v>
      </c>
      <c r="B165" s="91"/>
      <c r="C165" s="92"/>
      <c r="D165" s="92"/>
      <c r="E165" s="92"/>
      <c r="F165" s="92"/>
      <c r="G165" s="92"/>
      <c r="H165" s="95"/>
      <c r="I165" s="95"/>
      <c r="J165" s="96"/>
      <c r="K165" s="97"/>
      <c r="L165" s="95"/>
      <c r="M165" s="95"/>
      <c r="N165" s="95"/>
      <c r="O165" s="95"/>
      <c r="P165" s="95"/>
      <c r="Q165" s="95"/>
      <c r="R165" s="95"/>
      <c r="S165" s="77"/>
      <c r="T165" s="77"/>
      <c r="U165" s="77"/>
      <c r="V165" s="77"/>
      <c r="W165" s="77"/>
      <c r="X165" s="77"/>
      <c r="Y165" s="311">
        <f>SUM(Y146:Y162)-Y145</f>
        <v>0</v>
      </c>
      <c r="Z165" s="77"/>
      <c r="AA165" s="77"/>
      <c r="AB165" s="77"/>
      <c r="AC165" s="77"/>
      <c r="AD165" s="77"/>
      <c r="AE165" s="77"/>
      <c r="AF165" s="77"/>
      <c r="AG165" s="77"/>
      <c r="AH165" s="77"/>
      <c r="AI165" s="77"/>
      <c r="AJ165" s="77"/>
      <c r="AK165" s="77"/>
      <c r="AL165" s="77"/>
      <c r="AM165" s="77"/>
      <c r="AN165" s="77"/>
      <c r="AO165" s="77"/>
      <c r="AP165" s="77"/>
      <c r="AQ165" s="77"/>
      <c r="AR165" s="77"/>
    </row>
    <row r="166" spans="1:44" ht="18.75">
      <c r="A166" s="77">
        <v>2</v>
      </c>
      <c r="B166" s="98"/>
      <c r="C166" s="94"/>
      <c r="D166" s="92"/>
      <c r="E166" s="92"/>
      <c r="F166" s="92"/>
      <c r="G166" s="92"/>
      <c r="H166" s="95"/>
      <c r="I166" s="95"/>
      <c r="J166" s="96"/>
      <c r="K166" s="97"/>
      <c r="L166" s="95"/>
      <c r="M166" s="95"/>
      <c r="N166" s="95"/>
      <c r="O166" s="95"/>
      <c r="P166" s="95"/>
      <c r="Q166" s="95"/>
      <c r="R166" s="95"/>
      <c r="S166" s="77"/>
      <c r="T166" s="77"/>
      <c r="U166" s="77"/>
      <c r="V166" s="77"/>
      <c r="W166" s="77"/>
      <c r="X166" s="77"/>
      <c r="Y166" s="77"/>
      <c r="Z166" s="77"/>
      <c r="AA166" s="77"/>
      <c r="AB166" s="77"/>
      <c r="AC166" s="77"/>
      <c r="AD166" s="77"/>
      <c r="AE166" s="77"/>
      <c r="AF166" s="77"/>
      <c r="AG166" s="77"/>
      <c r="AH166" s="77"/>
      <c r="AI166" s="77"/>
      <c r="AJ166" s="77"/>
      <c r="AK166" s="77"/>
      <c r="AL166" s="77"/>
      <c r="AM166" s="77"/>
      <c r="AN166" s="77"/>
      <c r="AO166" s="77"/>
      <c r="AP166" s="77"/>
      <c r="AQ166" s="77"/>
      <c r="AR166" s="77"/>
    </row>
    <row r="167" spans="1:44" ht="18.75">
      <c r="A167" s="77">
        <v>3</v>
      </c>
      <c r="B167" s="98"/>
      <c r="C167" s="94"/>
      <c r="D167" s="92"/>
      <c r="E167" s="92"/>
      <c r="F167" s="92"/>
      <c r="G167" s="92"/>
      <c r="H167" s="95"/>
      <c r="I167" s="95"/>
      <c r="J167" s="96"/>
      <c r="K167" s="97"/>
      <c r="L167" s="95"/>
      <c r="M167" s="95"/>
      <c r="N167" s="95"/>
      <c r="O167" s="95"/>
      <c r="P167" s="95"/>
      <c r="Q167" s="95"/>
      <c r="R167" s="95"/>
      <c r="S167" s="77"/>
      <c r="T167" s="77"/>
      <c r="U167" s="77"/>
      <c r="V167" s="77"/>
      <c r="W167" s="77"/>
      <c r="X167" s="77"/>
      <c r="Y167" s="77"/>
      <c r="Z167" s="77"/>
      <c r="AA167" s="77"/>
      <c r="AB167" s="77"/>
      <c r="AC167" s="77"/>
      <c r="AD167" s="77"/>
      <c r="AE167" s="77"/>
      <c r="AF167" s="77"/>
      <c r="AG167" s="77"/>
      <c r="AH167" s="77"/>
      <c r="AI167" s="77"/>
      <c r="AJ167" s="77"/>
      <c r="AK167" s="77"/>
      <c r="AL167" s="77"/>
      <c r="AM167" s="77"/>
      <c r="AN167" s="77"/>
      <c r="AO167" s="77"/>
      <c r="AP167" s="77"/>
      <c r="AQ167" s="77"/>
      <c r="AR167" s="77"/>
    </row>
    <row r="168" spans="1:44" ht="18.75">
      <c r="A168" s="1210" t="s">
        <v>460</v>
      </c>
      <c r="B168" s="1211"/>
      <c r="C168" s="1212"/>
      <c r="D168" s="99"/>
      <c r="E168" s="99"/>
      <c r="F168" s="99"/>
      <c r="G168" s="99"/>
      <c r="H168" s="99"/>
      <c r="I168" s="99"/>
      <c r="J168" s="99"/>
      <c r="K168" s="100"/>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row>
    <row r="169" spans="1:44" ht="18.75">
      <c r="A169" s="1213" t="s">
        <v>461</v>
      </c>
      <c r="B169" s="1213"/>
      <c r="C169" s="1213"/>
      <c r="D169" s="1213"/>
      <c r="E169" s="1213"/>
      <c r="F169" s="1213"/>
      <c r="G169" s="1213"/>
      <c r="H169" s="1213"/>
      <c r="I169" s="1213"/>
      <c r="J169" s="1214" t="s">
        <v>114</v>
      </c>
      <c r="K169" s="101"/>
      <c r="L169" s="102" t="s">
        <v>17</v>
      </c>
      <c r="M169" s="102"/>
      <c r="N169" s="103"/>
      <c r="O169" s="104"/>
      <c r="P169" s="1214" t="s">
        <v>114</v>
      </c>
      <c r="Q169" s="102"/>
      <c r="R169" s="102" t="s">
        <v>17</v>
      </c>
      <c r="S169" s="102"/>
      <c r="T169" s="103"/>
      <c r="U169" s="104"/>
      <c r="V169" s="1214" t="s">
        <v>114</v>
      </c>
      <c r="W169" s="102"/>
      <c r="X169" s="102" t="s">
        <v>17</v>
      </c>
      <c r="Y169" s="102"/>
      <c r="Z169" s="103"/>
      <c r="AA169" s="104"/>
      <c r="AB169" s="1214" t="s">
        <v>114</v>
      </c>
      <c r="AC169" s="102"/>
      <c r="AD169" s="102" t="s">
        <v>17</v>
      </c>
      <c r="AE169" s="102"/>
      <c r="AF169" s="103"/>
      <c r="AG169" s="104"/>
      <c r="AH169" s="1214" t="s">
        <v>114</v>
      </c>
      <c r="AI169" s="102"/>
      <c r="AJ169" s="102" t="s">
        <v>17</v>
      </c>
      <c r="AK169" s="102"/>
      <c r="AL169" s="103"/>
      <c r="AM169" s="104"/>
      <c r="AN169" s="1214" t="s">
        <v>114</v>
      </c>
      <c r="AO169" s="102"/>
      <c r="AP169" s="102" t="s">
        <v>17</v>
      </c>
      <c r="AQ169" s="102"/>
      <c r="AR169" s="102"/>
    </row>
    <row r="170" spans="1:44" ht="18.75">
      <c r="A170" s="1213"/>
      <c r="B170" s="1213"/>
      <c r="C170" s="1213"/>
      <c r="D170" s="1213"/>
      <c r="E170" s="1213"/>
      <c r="F170" s="1213"/>
      <c r="G170" s="1213"/>
      <c r="H170" s="1213"/>
      <c r="I170" s="1213"/>
      <c r="J170" s="1215"/>
      <c r="K170" s="101"/>
      <c r="L170" s="102" t="s">
        <v>32</v>
      </c>
      <c r="M170" s="102"/>
      <c r="N170" s="105"/>
      <c r="O170" s="106"/>
      <c r="P170" s="1215"/>
      <c r="Q170" s="102"/>
      <c r="R170" s="102" t="s">
        <v>32</v>
      </c>
      <c r="S170" s="102"/>
      <c r="T170" s="105"/>
      <c r="U170" s="106"/>
      <c r="V170" s="1215"/>
      <c r="W170" s="102"/>
      <c r="X170" s="102" t="s">
        <v>32</v>
      </c>
      <c r="Y170" s="102"/>
      <c r="Z170" s="105"/>
      <c r="AA170" s="106"/>
      <c r="AB170" s="1215"/>
      <c r="AC170" s="102"/>
      <c r="AD170" s="102" t="s">
        <v>32</v>
      </c>
      <c r="AE170" s="102"/>
      <c r="AF170" s="105"/>
      <c r="AG170" s="106"/>
      <c r="AH170" s="1215"/>
      <c r="AI170" s="102"/>
      <c r="AJ170" s="102" t="s">
        <v>32</v>
      </c>
      <c r="AK170" s="102"/>
      <c r="AL170" s="105"/>
      <c r="AM170" s="106"/>
      <c r="AN170" s="1215"/>
      <c r="AO170" s="102"/>
      <c r="AP170" s="102" t="s">
        <v>32</v>
      </c>
      <c r="AQ170" s="102"/>
      <c r="AR170" s="102"/>
    </row>
    <row r="171" spans="1:44" ht="18.75">
      <c r="A171" s="1213"/>
      <c r="B171" s="1213"/>
      <c r="C171" s="1213"/>
      <c r="D171" s="1213"/>
      <c r="E171" s="1213"/>
      <c r="F171" s="1213"/>
      <c r="G171" s="1213"/>
      <c r="H171" s="1213"/>
      <c r="I171" s="1213"/>
      <c r="J171" s="1214" t="s">
        <v>115</v>
      </c>
      <c r="K171" s="101"/>
      <c r="L171" s="102" t="s">
        <v>17</v>
      </c>
      <c r="M171" s="102"/>
      <c r="N171" s="105"/>
      <c r="O171" s="106"/>
      <c r="P171" s="1214" t="s">
        <v>115</v>
      </c>
      <c r="Q171" s="102"/>
      <c r="R171" s="102" t="s">
        <v>17</v>
      </c>
      <c r="S171" s="102"/>
      <c r="T171" s="105"/>
      <c r="U171" s="106"/>
      <c r="V171" s="1214" t="s">
        <v>115</v>
      </c>
      <c r="W171" s="102"/>
      <c r="X171" s="102" t="s">
        <v>17</v>
      </c>
      <c r="Y171" s="102"/>
      <c r="Z171" s="105"/>
      <c r="AA171" s="106"/>
      <c r="AB171" s="1214" t="s">
        <v>115</v>
      </c>
      <c r="AC171" s="102"/>
      <c r="AD171" s="102" t="s">
        <v>17</v>
      </c>
      <c r="AE171" s="102"/>
      <c r="AF171" s="105"/>
      <c r="AG171" s="106"/>
      <c r="AH171" s="1214" t="s">
        <v>115</v>
      </c>
      <c r="AI171" s="102"/>
      <c r="AJ171" s="102" t="s">
        <v>17</v>
      </c>
      <c r="AK171" s="102"/>
      <c r="AL171" s="105"/>
      <c r="AM171" s="106"/>
      <c r="AN171" s="1214" t="s">
        <v>115</v>
      </c>
      <c r="AO171" s="102"/>
      <c r="AP171" s="102" t="s">
        <v>17</v>
      </c>
      <c r="AQ171" s="102"/>
      <c r="AR171" s="102"/>
    </row>
    <row r="172" spans="1:44" ht="18.75">
      <c r="A172" s="1213"/>
      <c r="B172" s="1213"/>
      <c r="C172" s="1213"/>
      <c r="D172" s="1213"/>
      <c r="E172" s="1213"/>
      <c r="F172" s="1213"/>
      <c r="G172" s="1213"/>
      <c r="H172" s="1213"/>
      <c r="I172" s="1213"/>
      <c r="J172" s="1215"/>
      <c r="K172" s="101"/>
      <c r="L172" s="102" t="s">
        <v>32</v>
      </c>
      <c r="M172" s="102"/>
      <c r="N172" s="105"/>
      <c r="O172" s="106"/>
      <c r="P172" s="1215"/>
      <c r="Q172" s="102"/>
      <c r="R172" s="102" t="s">
        <v>32</v>
      </c>
      <c r="S172" s="102"/>
      <c r="T172" s="105"/>
      <c r="U172" s="106"/>
      <c r="V172" s="1215"/>
      <c r="W172" s="102"/>
      <c r="X172" s="102" t="s">
        <v>32</v>
      </c>
      <c r="Y172" s="102"/>
      <c r="Z172" s="105"/>
      <c r="AA172" s="106"/>
      <c r="AB172" s="1215"/>
      <c r="AC172" s="102"/>
      <c r="AD172" s="102" t="s">
        <v>32</v>
      </c>
      <c r="AE172" s="102"/>
      <c r="AF172" s="105"/>
      <c r="AG172" s="106"/>
      <c r="AH172" s="1215"/>
      <c r="AI172" s="102"/>
      <c r="AJ172" s="102" t="s">
        <v>32</v>
      </c>
      <c r="AK172" s="102"/>
      <c r="AL172" s="105"/>
      <c r="AM172" s="106"/>
      <c r="AN172" s="1215"/>
      <c r="AO172" s="102"/>
      <c r="AP172" s="102" t="s">
        <v>32</v>
      </c>
      <c r="AQ172" s="102"/>
      <c r="AR172" s="102"/>
    </row>
    <row r="173" spans="1:44" ht="18.75">
      <c r="A173" s="1213"/>
      <c r="B173" s="1213"/>
      <c r="C173" s="1213"/>
      <c r="D173" s="1213"/>
      <c r="E173" s="1213"/>
      <c r="F173" s="1213"/>
      <c r="G173" s="1213"/>
      <c r="H173" s="1213"/>
      <c r="I173" s="1213"/>
      <c r="J173" s="1214" t="s">
        <v>116</v>
      </c>
      <c r="K173" s="101"/>
      <c r="L173" s="102" t="s">
        <v>17</v>
      </c>
      <c r="M173" s="102"/>
      <c r="N173" s="105"/>
      <c r="O173" s="106"/>
      <c r="P173" s="1214" t="s">
        <v>116</v>
      </c>
      <c r="Q173" s="102"/>
      <c r="R173" s="102" t="s">
        <v>17</v>
      </c>
      <c r="S173" s="102"/>
      <c r="T173" s="105"/>
      <c r="U173" s="106"/>
      <c r="V173" s="1214" t="s">
        <v>116</v>
      </c>
      <c r="W173" s="102"/>
      <c r="X173" s="102" t="s">
        <v>17</v>
      </c>
      <c r="Y173" s="102"/>
      <c r="Z173" s="105"/>
      <c r="AA173" s="106"/>
      <c r="AB173" s="1214" t="s">
        <v>116</v>
      </c>
      <c r="AC173" s="102"/>
      <c r="AD173" s="102" t="s">
        <v>17</v>
      </c>
      <c r="AE173" s="102"/>
      <c r="AF173" s="105"/>
      <c r="AG173" s="106"/>
      <c r="AH173" s="1214" t="s">
        <v>116</v>
      </c>
      <c r="AI173" s="102"/>
      <c r="AJ173" s="102" t="s">
        <v>17</v>
      </c>
      <c r="AK173" s="102"/>
      <c r="AL173" s="105"/>
      <c r="AM173" s="106"/>
      <c r="AN173" s="1214" t="s">
        <v>116</v>
      </c>
      <c r="AO173" s="102"/>
      <c r="AP173" s="102" t="s">
        <v>17</v>
      </c>
      <c r="AQ173" s="102"/>
      <c r="AR173" s="102"/>
    </row>
    <row r="174" spans="1:44" ht="18.75">
      <c r="A174" s="1213"/>
      <c r="B174" s="1213"/>
      <c r="C174" s="1213"/>
      <c r="D174" s="1213"/>
      <c r="E174" s="1213"/>
      <c r="F174" s="1213"/>
      <c r="G174" s="1213"/>
      <c r="H174" s="1213"/>
      <c r="I174" s="1213"/>
      <c r="J174" s="1215"/>
      <c r="K174" s="101"/>
      <c r="L174" s="102" t="s">
        <v>32</v>
      </c>
      <c r="M174" s="102"/>
      <c r="N174" s="105"/>
      <c r="O174" s="106"/>
      <c r="P174" s="1215"/>
      <c r="Q174" s="102"/>
      <c r="R174" s="102" t="s">
        <v>32</v>
      </c>
      <c r="S174" s="102"/>
      <c r="T174" s="105"/>
      <c r="U174" s="106"/>
      <c r="V174" s="1215"/>
      <c r="W174" s="102"/>
      <c r="X174" s="102" t="s">
        <v>32</v>
      </c>
      <c r="Y174" s="102"/>
      <c r="Z174" s="105"/>
      <c r="AA174" s="106"/>
      <c r="AB174" s="1215"/>
      <c r="AC174" s="102"/>
      <c r="AD174" s="102" t="s">
        <v>32</v>
      </c>
      <c r="AE174" s="102"/>
      <c r="AF174" s="105"/>
      <c r="AG174" s="106"/>
      <c r="AH174" s="1215"/>
      <c r="AI174" s="102"/>
      <c r="AJ174" s="102" t="s">
        <v>32</v>
      </c>
      <c r="AK174" s="102"/>
      <c r="AL174" s="105"/>
      <c r="AM174" s="106"/>
      <c r="AN174" s="1215"/>
      <c r="AO174" s="102"/>
      <c r="AP174" s="102" t="s">
        <v>32</v>
      </c>
      <c r="AQ174" s="102"/>
      <c r="AR174" s="102"/>
    </row>
    <row r="175" spans="1:44" ht="18.75">
      <c r="A175" s="1213"/>
      <c r="B175" s="1213"/>
      <c r="C175" s="1213"/>
      <c r="D175" s="1213"/>
      <c r="E175" s="1213"/>
      <c r="F175" s="1213"/>
      <c r="G175" s="1213"/>
      <c r="H175" s="1213"/>
      <c r="I175" s="1213"/>
      <c r="J175" s="1214" t="s">
        <v>117</v>
      </c>
      <c r="K175" s="101"/>
      <c r="L175" s="102" t="s">
        <v>17</v>
      </c>
      <c r="M175" s="102"/>
      <c r="N175" s="105"/>
      <c r="O175" s="106"/>
      <c r="P175" s="1214" t="s">
        <v>117</v>
      </c>
      <c r="Q175" s="102"/>
      <c r="R175" s="102" t="s">
        <v>17</v>
      </c>
      <c r="S175" s="102"/>
      <c r="T175" s="105"/>
      <c r="U175" s="106"/>
      <c r="V175" s="1214" t="s">
        <v>117</v>
      </c>
      <c r="W175" s="102"/>
      <c r="X175" s="102" t="s">
        <v>17</v>
      </c>
      <c r="Y175" s="102"/>
      <c r="Z175" s="105"/>
      <c r="AA175" s="106"/>
      <c r="AB175" s="1214" t="s">
        <v>117</v>
      </c>
      <c r="AC175" s="102"/>
      <c r="AD175" s="102" t="s">
        <v>17</v>
      </c>
      <c r="AE175" s="102"/>
      <c r="AF175" s="105"/>
      <c r="AG175" s="106"/>
      <c r="AH175" s="1214" t="s">
        <v>117</v>
      </c>
      <c r="AI175" s="102"/>
      <c r="AJ175" s="102" t="s">
        <v>17</v>
      </c>
      <c r="AK175" s="102"/>
      <c r="AL175" s="105"/>
      <c r="AM175" s="106"/>
      <c r="AN175" s="1214" t="s">
        <v>117</v>
      </c>
      <c r="AO175" s="102"/>
      <c r="AP175" s="102" t="s">
        <v>17</v>
      </c>
      <c r="AQ175" s="102"/>
      <c r="AR175" s="102"/>
    </row>
    <row r="176" spans="1:44" ht="18.75">
      <c r="A176" s="1213"/>
      <c r="B176" s="1213"/>
      <c r="C176" s="1213"/>
      <c r="D176" s="1213"/>
      <c r="E176" s="1213"/>
      <c r="F176" s="1213"/>
      <c r="G176" s="1213"/>
      <c r="H176" s="1213"/>
      <c r="I176" s="1213"/>
      <c r="J176" s="1215"/>
      <c r="K176" s="101"/>
      <c r="L176" s="102" t="s">
        <v>32</v>
      </c>
      <c r="M176" s="102"/>
      <c r="N176" s="105"/>
      <c r="O176" s="106"/>
      <c r="P176" s="1215"/>
      <c r="Q176" s="102"/>
      <c r="R176" s="102" t="s">
        <v>32</v>
      </c>
      <c r="S176" s="102"/>
      <c r="T176" s="105"/>
      <c r="U176" s="106"/>
      <c r="V176" s="1215"/>
      <c r="W176" s="102"/>
      <c r="X176" s="102" t="s">
        <v>32</v>
      </c>
      <c r="Y176" s="102"/>
      <c r="Z176" s="105"/>
      <c r="AA176" s="106"/>
      <c r="AB176" s="1215"/>
      <c r="AC176" s="102"/>
      <c r="AD176" s="102" t="s">
        <v>32</v>
      </c>
      <c r="AE176" s="102"/>
      <c r="AF176" s="105"/>
      <c r="AG176" s="106"/>
      <c r="AH176" s="1215"/>
      <c r="AI176" s="102"/>
      <c r="AJ176" s="102" t="s">
        <v>32</v>
      </c>
      <c r="AK176" s="102"/>
      <c r="AL176" s="105"/>
      <c r="AM176" s="106"/>
      <c r="AN176" s="1215"/>
      <c r="AO176" s="102"/>
      <c r="AP176" s="102" t="s">
        <v>32</v>
      </c>
      <c r="AQ176" s="102"/>
      <c r="AR176" s="102"/>
    </row>
    <row r="177" spans="1:44" ht="18.75">
      <c r="A177" s="1213"/>
      <c r="B177" s="1213"/>
      <c r="C177" s="1213"/>
      <c r="D177" s="1213"/>
      <c r="E177" s="1213"/>
      <c r="F177" s="1213"/>
      <c r="G177" s="1213"/>
      <c r="H177" s="1213"/>
      <c r="I177" s="1213"/>
      <c r="J177" s="1214" t="s">
        <v>462</v>
      </c>
      <c r="K177" s="101"/>
      <c r="L177" s="102" t="s">
        <v>32</v>
      </c>
      <c r="M177" s="1216"/>
      <c r="N177" s="105"/>
      <c r="O177" s="106"/>
      <c r="P177" s="1214" t="s">
        <v>462</v>
      </c>
      <c r="Q177" s="102"/>
      <c r="R177" s="102" t="s">
        <v>32</v>
      </c>
      <c r="S177" s="1216"/>
      <c r="T177" s="105"/>
      <c r="U177" s="106"/>
      <c r="V177" s="1214" t="s">
        <v>462</v>
      </c>
      <c r="W177" s="102"/>
      <c r="X177" s="102" t="s">
        <v>32</v>
      </c>
      <c r="Y177" s="1216"/>
      <c r="Z177" s="105"/>
      <c r="AA177" s="106"/>
      <c r="AB177" s="1214" t="s">
        <v>462</v>
      </c>
      <c r="AC177" s="102"/>
      <c r="AD177" s="102" t="s">
        <v>32</v>
      </c>
      <c r="AE177" s="1216"/>
      <c r="AF177" s="105"/>
      <c r="AG177" s="106"/>
      <c r="AH177" s="1214" t="s">
        <v>462</v>
      </c>
      <c r="AI177" s="102"/>
      <c r="AJ177" s="102" t="s">
        <v>32</v>
      </c>
      <c r="AK177" s="1216"/>
      <c r="AL177" s="105"/>
      <c r="AM177" s="106"/>
      <c r="AN177" s="1214" t="s">
        <v>462</v>
      </c>
      <c r="AO177" s="102"/>
      <c r="AP177" s="102" t="s">
        <v>32</v>
      </c>
      <c r="AQ177" s="1216"/>
      <c r="AR177" s="1216"/>
    </row>
    <row r="178" spans="1:44" ht="18.75">
      <c r="A178" s="1213"/>
      <c r="B178" s="1213"/>
      <c r="C178" s="1213"/>
      <c r="D178" s="1213"/>
      <c r="E178" s="1213"/>
      <c r="F178" s="1213"/>
      <c r="G178" s="1213"/>
      <c r="H178" s="1213"/>
      <c r="I178" s="1213"/>
      <c r="J178" s="1215"/>
      <c r="K178" s="101"/>
      <c r="L178" s="102" t="s">
        <v>17</v>
      </c>
      <c r="M178" s="1217"/>
      <c r="N178" s="105"/>
      <c r="O178" s="106"/>
      <c r="P178" s="1215"/>
      <c r="Q178" s="102"/>
      <c r="R178" s="102" t="s">
        <v>17</v>
      </c>
      <c r="S178" s="1217"/>
      <c r="T178" s="105"/>
      <c r="U178" s="106"/>
      <c r="V178" s="1215"/>
      <c r="W178" s="102"/>
      <c r="X178" s="102" t="s">
        <v>17</v>
      </c>
      <c r="Y178" s="1217"/>
      <c r="Z178" s="105"/>
      <c r="AA178" s="106"/>
      <c r="AB178" s="1215"/>
      <c r="AC178" s="102"/>
      <c r="AD178" s="102" t="s">
        <v>17</v>
      </c>
      <c r="AE178" s="1217"/>
      <c r="AF178" s="105"/>
      <c r="AG178" s="106"/>
      <c r="AH178" s="1215"/>
      <c r="AI178" s="102"/>
      <c r="AJ178" s="102" t="s">
        <v>17</v>
      </c>
      <c r="AK178" s="1217"/>
      <c r="AL178" s="105"/>
      <c r="AM178" s="106"/>
      <c r="AN178" s="1215"/>
      <c r="AO178" s="102"/>
      <c r="AP178" s="102" t="s">
        <v>17</v>
      </c>
      <c r="AQ178" s="1217"/>
      <c r="AR178" s="1217"/>
    </row>
    <row r="179" spans="1:44" ht="56.25">
      <c r="A179" s="1213"/>
      <c r="B179" s="1213"/>
      <c r="C179" s="1213"/>
      <c r="D179" s="1213"/>
      <c r="E179" s="1213"/>
      <c r="F179" s="1213"/>
      <c r="G179" s="1213"/>
      <c r="H179" s="1213"/>
      <c r="I179" s="1213"/>
      <c r="J179" s="108" t="s">
        <v>120</v>
      </c>
      <c r="K179" s="101"/>
      <c r="L179" s="102" t="s">
        <v>118</v>
      </c>
      <c r="M179" s="102"/>
      <c r="N179" s="105"/>
      <c r="O179" s="106"/>
      <c r="P179" s="108" t="s">
        <v>120</v>
      </c>
      <c r="Q179" s="102"/>
      <c r="R179" s="102" t="s">
        <v>118</v>
      </c>
      <c r="S179" s="102"/>
      <c r="T179" s="105"/>
      <c r="U179" s="106"/>
      <c r="V179" s="108" t="s">
        <v>120</v>
      </c>
      <c r="W179" s="102"/>
      <c r="X179" s="102" t="s">
        <v>118</v>
      </c>
      <c r="Y179" s="102"/>
      <c r="Z179" s="105"/>
      <c r="AA179" s="106"/>
      <c r="AB179" s="108" t="s">
        <v>120</v>
      </c>
      <c r="AC179" s="102"/>
      <c r="AD179" s="102" t="s">
        <v>118</v>
      </c>
      <c r="AE179" s="102"/>
      <c r="AF179" s="105"/>
      <c r="AG179" s="106"/>
      <c r="AH179" s="108" t="s">
        <v>120</v>
      </c>
      <c r="AI179" s="102"/>
      <c r="AJ179" s="102" t="s">
        <v>118</v>
      </c>
      <c r="AK179" s="102"/>
      <c r="AL179" s="105"/>
      <c r="AM179" s="106"/>
      <c r="AN179" s="108" t="s">
        <v>120</v>
      </c>
      <c r="AO179" s="102"/>
      <c r="AP179" s="102" t="s">
        <v>118</v>
      </c>
      <c r="AQ179" s="102"/>
      <c r="AR179" s="102"/>
    </row>
    <row r="180" spans="1:44" ht="56.25">
      <c r="A180" s="1213"/>
      <c r="B180" s="1213"/>
      <c r="C180" s="1213"/>
      <c r="D180" s="1213"/>
      <c r="E180" s="1213"/>
      <c r="F180" s="1213"/>
      <c r="G180" s="1213"/>
      <c r="H180" s="1213"/>
      <c r="I180" s="1213"/>
      <c r="J180" s="108" t="s">
        <v>93</v>
      </c>
      <c r="K180" s="101"/>
      <c r="L180" s="102" t="s">
        <v>118</v>
      </c>
      <c r="M180" s="102"/>
      <c r="N180" s="105"/>
      <c r="O180" s="106"/>
      <c r="P180" s="108" t="s">
        <v>93</v>
      </c>
      <c r="Q180" s="102"/>
      <c r="R180" s="102" t="s">
        <v>118</v>
      </c>
      <c r="S180" s="102"/>
      <c r="T180" s="105"/>
      <c r="U180" s="106"/>
      <c r="V180" s="108" t="s">
        <v>93</v>
      </c>
      <c r="W180" s="102"/>
      <c r="X180" s="102" t="s">
        <v>118</v>
      </c>
      <c r="Y180" s="102"/>
      <c r="Z180" s="105"/>
      <c r="AA180" s="106"/>
      <c r="AB180" s="108" t="s">
        <v>93</v>
      </c>
      <c r="AC180" s="102"/>
      <c r="AD180" s="102" t="s">
        <v>118</v>
      </c>
      <c r="AE180" s="102"/>
      <c r="AF180" s="105"/>
      <c r="AG180" s="106"/>
      <c r="AH180" s="108" t="s">
        <v>93</v>
      </c>
      <c r="AI180" s="102"/>
      <c r="AJ180" s="102" t="s">
        <v>118</v>
      </c>
      <c r="AK180" s="102"/>
      <c r="AL180" s="105"/>
      <c r="AM180" s="106"/>
      <c r="AN180" s="108" t="s">
        <v>93</v>
      </c>
      <c r="AO180" s="102"/>
      <c r="AP180" s="102" t="s">
        <v>118</v>
      </c>
      <c r="AQ180" s="102"/>
      <c r="AR180" s="102"/>
    </row>
    <row r="181" spans="1:44" ht="75">
      <c r="A181" s="1213"/>
      <c r="B181" s="1213"/>
      <c r="C181" s="1213"/>
      <c r="D181" s="1213"/>
      <c r="E181" s="1213"/>
      <c r="F181" s="1213"/>
      <c r="G181" s="1213"/>
      <c r="H181" s="1213"/>
      <c r="I181" s="1213"/>
      <c r="J181" s="108" t="s">
        <v>463</v>
      </c>
      <c r="K181" s="101"/>
      <c r="L181" s="102" t="s">
        <v>2681</v>
      </c>
      <c r="M181" s="102"/>
      <c r="N181" s="105"/>
      <c r="O181" s="106"/>
      <c r="P181" s="108" t="s">
        <v>463</v>
      </c>
      <c r="Q181" s="102"/>
      <c r="R181" s="102" t="s">
        <v>2681</v>
      </c>
      <c r="S181" s="102"/>
      <c r="T181" s="105"/>
      <c r="U181" s="106"/>
      <c r="V181" s="108" t="s">
        <v>463</v>
      </c>
      <c r="W181" s="102"/>
      <c r="X181" s="102" t="s">
        <v>2681</v>
      </c>
      <c r="Y181" s="102"/>
      <c r="Z181" s="105"/>
      <c r="AA181" s="106"/>
      <c r="AB181" s="108" t="s">
        <v>463</v>
      </c>
      <c r="AC181" s="102"/>
      <c r="AD181" s="102" t="s">
        <v>2681</v>
      </c>
      <c r="AE181" s="102"/>
      <c r="AF181" s="105"/>
      <c r="AG181" s="106"/>
      <c r="AH181" s="108" t="s">
        <v>463</v>
      </c>
      <c r="AI181" s="102"/>
      <c r="AJ181" s="102" t="s">
        <v>2681</v>
      </c>
      <c r="AK181" s="102"/>
      <c r="AL181" s="105"/>
      <c r="AM181" s="106"/>
      <c r="AN181" s="108" t="s">
        <v>463</v>
      </c>
      <c r="AO181" s="102"/>
      <c r="AP181" s="102" t="s">
        <v>2681</v>
      </c>
      <c r="AQ181" s="102"/>
      <c r="AR181" s="102"/>
    </row>
    <row r="182" spans="1:44" ht="37.5">
      <c r="A182" s="1213"/>
      <c r="B182" s="1213"/>
      <c r="C182" s="1213"/>
      <c r="D182" s="1213"/>
      <c r="E182" s="1213"/>
      <c r="F182" s="1213"/>
      <c r="G182" s="1213"/>
      <c r="H182" s="1213"/>
      <c r="I182" s="1213"/>
      <c r="J182" s="108" t="s">
        <v>464</v>
      </c>
      <c r="K182" s="101"/>
      <c r="L182" s="102" t="s">
        <v>32</v>
      </c>
      <c r="M182" s="102"/>
      <c r="N182" s="105"/>
      <c r="O182" s="106"/>
      <c r="P182" s="108" t="s">
        <v>464</v>
      </c>
      <c r="Q182" s="102"/>
      <c r="R182" s="102" t="s">
        <v>32</v>
      </c>
      <c r="S182" s="102"/>
      <c r="T182" s="105"/>
      <c r="U182" s="106"/>
      <c r="V182" s="108" t="s">
        <v>464</v>
      </c>
      <c r="W182" s="102"/>
      <c r="X182" s="102" t="s">
        <v>32</v>
      </c>
      <c r="Y182" s="102"/>
      <c r="Z182" s="105"/>
      <c r="AA182" s="106"/>
      <c r="AB182" s="108" t="s">
        <v>464</v>
      </c>
      <c r="AC182" s="102"/>
      <c r="AD182" s="102" t="s">
        <v>32</v>
      </c>
      <c r="AE182" s="102"/>
      <c r="AF182" s="105"/>
      <c r="AG182" s="106"/>
      <c r="AH182" s="108" t="s">
        <v>464</v>
      </c>
      <c r="AI182" s="102"/>
      <c r="AJ182" s="102" t="s">
        <v>32</v>
      </c>
      <c r="AK182" s="102"/>
      <c r="AL182" s="105"/>
      <c r="AM182" s="106"/>
      <c r="AN182" s="108" t="s">
        <v>464</v>
      </c>
      <c r="AO182" s="102"/>
      <c r="AP182" s="102" t="s">
        <v>32</v>
      </c>
      <c r="AQ182" s="102"/>
      <c r="AR182" s="102"/>
    </row>
    <row r="183" spans="1:44" ht="37.5">
      <c r="A183" s="1213"/>
      <c r="B183" s="1213"/>
      <c r="C183" s="1213"/>
      <c r="D183" s="1213"/>
      <c r="E183" s="1213"/>
      <c r="F183" s="1213"/>
      <c r="G183" s="1213"/>
      <c r="H183" s="1213"/>
      <c r="I183" s="1213"/>
      <c r="J183" s="108" t="s">
        <v>68</v>
      </c>
      <c r="K183" s="101"/>
      <c r="L183" s="102" t="s">
        <v>2681</v>
      </c>
      <c r="M183" s="102"/>
      <c r="N183" s="105"/>
      <c r="O183" s="106"/>
      <c r="P183" s="108" t="s">
        <v>68</v>
      </c>
      <c r="Q183" s="102"/>
      <c r="R183" s="102" t="s">
        <v>2681</v>
      </c>
      <c r="S183" s="102"/>
      <c r="T183" s="105"/>
      <c r="U183" s="106"/>
      <c r="V183" s="108" t="s">
        <v>68</v>
      </c>
      <c r="W183" s="102"/>
      <c r="X183" s="102" t="s">
        <v>2681</v>
      </c>
      <c r="Y183" s="102"/>
      <c r="Z183" s="105"/>
      <c r="AA183" s="106"/>
      <c r="AB183" s="108" t="s">
        <v>68</v>
      </c>
      <c r="AC183" s="102"/>
      <c r="AD183" s="102"/>
      <c r="AE183" s="102"/>
      <c r="AF183" s="105"/>
      <c r="AG183" s="106"/>
      <c r="AH183" s="108" t="s">
        <v>68</v>
      </c>
      <c r="AI183" s="102"/>
      <c r="AJ183" s="102"/>
      <c r="AK183" s="102"/>
      <c r="AL183" s="105"/>
      <c r="AM183" s="106"/>
      <c r="AN183" s="108" t="s">
        <v>68</v>
      </c>
      <c r="AO183" s="102"/>
      <c r="AP183" s="102"/>
      <c r="AQ183" s="102"/>
      <c r="AR183" s="102"/>
    </row>
    <row r="184" spans="1:44" ht="56.25">
      <c r="A184" s="1213"/>
      <c r="B184" s="1213"/>
      <c r="C184" s="1213"/>
      <c r="D184" s="1213"/>
      <c r="E184" s="1213"/>
      <c r="F184" s="1213"/>
      <c r="G184" s="1213"/>
      <c r="H184" s="1213"/>
      <c r="I184" s="1213"/>
      <c r="J184" s="108" t="s">
        <v>465</v>
      </c>
      <c r="K184" s="101"/>
      <c r="L184" s="102" t="s">
        <v>2681</v>
      </c>
      <c r="M184" s="102"/>
      <c r="N184" s="105"/>
      <c r="O184" s="109"/>
      <c r="P184" s="108" t="s">
        <v>465</v>
      </c>
      <c r="Q184" s="102"/>
      <c r="R184" s="102" t="s">
        <v>2681</v>
      </c>
      <c r="S184" s="102"/>
      <c r="T184" s="105"/>
      <c r="U184" s="109"/>
      <c r="V184" s="108" t="s">
        <v>465</v>
      </c>
      <c r="W184" s="102"/>
      <c r="X184" s="102" t="s">
        <v>2681</v>
      </c>
      <c r="Y184" s="102"/>
      <c r="Z184" s="105"/>
      <c r="AA184" s="109"/>
      <c r="AB184" s="108" t="s">
        <v>465</v>
      </c>
      <c r="AC184" s="102"/>
      <c r="AD184" s="102" t="s">
        <v>2681</v>
      </c>
      <c r="AE184" s="102"/>
      <c r="AF184" s="105"/>
      <c r="AG184" s="109"/>
      <c r="AH184" s="108" t="s">
        <v>465</v>
      </c>
      <c r="AI184" s="102"/>
      <c r="AJ184" s="102" t="s">
        <v>2681</v>
      </c>
      <c r="AK184" s="102"/>
      <c r="AL184" s="105"/>
      <c r="AM184" s="109"/>
      <c r="AN184" s="108" t="s">
        <v>465</v>
      </c>
      <c r="AO184" s="102"/>
      <c r="AP184" s="102" t="s">
        <v>2681</v>
      </c>
      <c r="AQ184" s="102"/>
      <c r="AR184" s="102"/>
    </row>
    <row r="185" spans="1:44" ht="37.5">
      <c r="A185" s="1213"/>
      <c r="B185" s="1213"/>
      <c r="C185" s="1213"/>
      <c r="D185" s="1213"/>
      <c r="E185" s="1213"/>
      <c r="F185" s="1213"/>
      <c r="G185" s="1213"/>
      <c r="H185" s="1213"/>
      <c r="I185" s="1213"/>
      <c r="J185" s="108" t="s">
        <v>112</v>
      </c>
      <c r="K185" s="101"/>
      <c r="L185" s="102" t="s">
        <v>32</v>
      </c>
      <c r="M185" s="102"/>
      <c r="N185" s="105"/>
      <c r="O185" s="109"/>
      <c r="P185" s="108" t="s">
        <v>112</v>
      </c>
      <c r="Q185" s="102"/>
      <c r="R185" s="102" t="s">
        <v>32</v>
      </c>
      <c r="S185" s="102"/>
      <c r="T185" s="105"/>
      <c r="U185" s="109"/>
      <c r="V185" s="108" t="s">
        <v>112</v>
      </c>
      <c r="W185" s="102"/>
      <c r="X185" s="102" t="s">
        <v>32</v>
      </c>
      <c r="Y185" s="102"/>
      <c r="Z185" s="105"/>
      <c r="AA185" s="109"/>
      <c r="AB185" s="108"/>
      <c r="AC185" s="102"/>
      <c r="AD185" s="102"/>
      <c r="AE185" s="102"/>
      <c r="AF185" s="105"/>
      <c r="AG185" s="109"/>
      <c r="AH185" s="108"/>
      <c r="AI185" s="102"/>
      <c r="AJ185" s="102"/>
      <c r="AK185" s="102"/>
      <c r="AL185" s="105"/>
      <c r="AM185" s="109"/>
      <c r="AN185" s="108"/>
      <c r="AO185" s="102"/>
      <c r="AP185" s="102"/>
      <c r="AQ185" s="102"/>
      <c r="AR185" s="102"/>
    </row>
    <row r="186" spans="1:44" ht="56.25">
      <c r="A186" s="1213"/>
      <c r="B186" s="1213"/>
      <c r="C186" s="1213"/>
      <c r="D186" s="1213"/>
      <c r="E186" s="1213"/>
      <c r="F186" s="1213"/>
      <c r="G186" s="1213"/>
      <c r="H186" s="1213"/>
      <c r="I186" s="1213"/>
      <c r="J186" s="108" t="s">
        <v>466</v>
      </c>
      <c r="K186" s="101"/>
      <c r="L186" s="102" t="s">
        <v>32</v>
      </c>
      <c r="M186" s="102"/>
      <c r="N186" s="105"/>
      <c r="O186" s="109"/>
      <c r="P186" s="108" t="s">
        <v>466</v>
      </c>
      <c r="Q186" s="102"/>
      <c r="R186" s="102" t="s">
        <v>32</v>
      </c>
      <c r="S186" s="102"/>
      <c r="T186" s="105"/>
      <c r="U186" s="109"/>
      <c r="V186" s="108" t="s">
        <v>466</v>
      </c>
      <c r="W186" s="102"/>
      <c r="X186" s="102" t="s">
        <v>32</v>
      </c>
      <c r="Y186" s="102"/>
      <c r="Z186" s="105"/>
      <c r="AA186" s="109"/>
      <c r="AB186" s="108"/>
      <c r="AC186" s="102"/>
      <c r="AD186" s="102"/>
      <c r="AE186" s="102"/>
      <c r="AF186" s="105"/>
      <c r="AG186" s="109"/>
      <c r="AH186" s="108"/>
      <c r="AI186" s="102"/>
      <c r="AJ186" s="102"/>
      <c r="AK186" s="102"/>
      <c r="AL186" s="105"/>
      <c r="AM186" s="109"/>
      <c r="AN186" s="108"/>
      <c r="AO186" s="102"/>
      <c r="AP186" s="102"/>
      <c r="AQ186" s="102"/>
      <c r="AR186" s="102"/>
    </row>
    <row r="187" spans="1:44" ht="56.25">
      <c r="A187" s="1213"/>
      <c r="B187" s="1213"/>
      <c r="C187" s="1213"/>
      <c r="D187" s="1213"/>
      <c r="E187" s="1213"/>
      <c r="F187" s="1213"/>
      <c r="G187" s="1213"/>
      <c r="H187" s="1213"/>
      <c r="I187" s="1213"/>
      <c r="J187" s="108" t="s">
        <v>467</v>
      </c>
      <c r="K187" s="101"/>
      <c r="L187" s="102" t="s">
        <v>32</v>
      </c>
      <c r="M187" s="102"/>
      <c r="N187" s="105"/>
      <c r="O187" s="109"/>
      <c r="P187" s="108" t="s">
        <v>467</v>
      </c>
      <c r="Q187" s="102"/>
      <c r="R187" s="102" t="s">
        <v>32</v>
      </c>
      <c r="S187" s="102"/>
      <c r="T187" s="105"/>
      <c r="U187" s="109"/>
      <c r="V187" s="108" t="s">
        <v>467</v>
      </c>
      <c r="W187" s="102"/>
      <c r="X187" s="102" t="s">
        <v>32</v>
      </c>
      <c r="Y187" s="102"/>
      <c r="Z187" s="105"/>
      <c r="AA187" s="109"/>
      <c r="AB187" s="108"/>
      <c r="AC187" s="102"/>
      <c r="AD187" s="102"/>
      <c r="AE187" s="102"/>
      <c r="AF187" s="105"/>
      <c r="AG187" s="109"/>
      <c r="AH187" s="108"/>
      <c r="AI187" s="102"/>
      <c r="AJ187" s="102"/>
      <c r="AK187" s="102"/>
      <c r="AL187" s="105"/>
      <c r="AM187" s="109"/>
      <c r="AN187" s="108"/>
      <c r="AO187" s="102"/>
      <c r="AP187" s="102"/>
      <c r="AQ187" s="102"/>
      <c r="AR187" s="102"/>
    </row>
    <row r="188" spans="1:44" ht="56.25">
      <c r="A188" s="1213"/>
      <c r="B188" s="1213"/>
      <c r="C188" s="1213"/>
      <c r="D188" s="1213"/>
      <c r="E188" s="1213"/>
      <c r="F188" s="1213"/>
      <c r="G188" s="1213"/>
      <c r="H188" s="1213"/>
      <c r="I188" s="1213"/>
      <c r="J188" s="108" t="s">
        <v>468</v>
      </c>
      <c r="K188" s="101"/>
      <c r="L188" s="102" t="s">
        <v>118</v>
      </c>
      <c r="M188" s="102"/>
      <c r="N188" s="105"/>
      <c r="O188" s="109"/>
      <c r="P188" s="108" t="s">
        <v>468</v>
      </c>
      <c r="Q188" s="102"/>
      <c r="R188" s="102" t="s">
        <v>118</v>
      </c>
      <c r="S188" s="102"/>
      <c r="T188" s="105"/>
      <c r="U188" s="109"/>
      <c r="V188" s="108" t="s">
        <v>468</v>
      </c>
      <c r="W188" s="102"/>
      <c r="X188" s="102" t="s">
        <v>118</v>
      </c>
      <c r="Y188" s="102"/>
      <c r="Z188" s="105"/>
      <c r="AA188" s="109"/>
      <c r="AB188" s="108"/>
      <c r="AC188" s="102"/>
      <c r="AD188" s="102"/>
      <c r="AE188" s="102"/>
      <c r="AF188" s="105"/>
      <c r="AG188" s="109"/>
      <c r="AH188" s="108"/>
      <c r="AI188" s="102"/>
      <c r="AJ188" s="102"/>
      <c r="AK188" s="102"/>
      <c r="AL188" s="105"/>
      <c r="AM188" s="109"/>
      <c r="AN188" s="108"/>
      <c r="AO188" s="102"/>
      <c r="AP188" s="102"/>
      <c r="AQ188" s="102"/>
      <c r="AR188" s="102"/>
    </row>
    <row r="189" spans="1:44" ht="56.25">
      <c r="A189" s="1213"/>
      <c r="B189" s="1213"/>
      <c r="C189" s="1213"/>
      <c r="D189" s="1213"/>
      <c r="E189" s="1213"/>
      <c r="F189" s="1213"/>
      <c r="G189" s="1213"/>
      <c r="H189" s="1213"/>
      <c r="I189" s="1213"/>
      <c r="J189" s="108" t="s">
        <v>469</v>
      </c>
      <c r="K189" s="101"/>
      <c r="L189" s="102" t="s">
        <v>2681</v>
      </c>
      <c r="M189" s="102"/>
      <c r="N189" s="105"/>
      <c r="O189" s="109"/>
      <c r="P189" s="108" t="s">
        <v>469</v>
      </c>
      <c r="Q189" s="102"/>
      <c r="R189" s="102" t="s">
        <v>2681</v>
      </c>
      <c r="S189" s="102"/>
      <c r="T189" s="105"/>
      <c r="U189" s="109"/>
      <c r="V189" s="108" t="s">
        <v>469</v>
      </c>
      <c r="W189" s="102"/>
      <c r="X189" s="102" t="s">
        <v>2681</v>
      </c>
      <c r="Y189" s="102"/>
      <c r="Z189" s="105"/>
      <c r="AA189" s="109"/>
      <c r="AB189" s="108"/>
      <c r="AC189" s="102"/>
      <c r="AD189" s="102"/>
      <c r="AE189" s="102"/>
      <c r="AF189" s="105"/>
      <c r="AG189" s="109"/>
      <c r="AH189" s="108"/>
      <c r="AI189" s="102"/>
      <c r="AJ189" s="102"/>
      <c r="AK189" s="102"/>
      <c r="AL189" s="105"/>
      <c r="AM189" s="109"/>
      <c r="AN189" s="108"/>
      <c r="AO189" s="102"/>
      <c r="AP189" s="102"/>
      <c r="AQ189" s="102"/>
      <c r="AR189" s="102"/>
    </row>
    <row r="190" spans="1:44" ht="131.25">
      <c r="A190" s="1213"/>
      <c r="B190" s="1213"/>
      <c r="C190" s="1213"/>
      <c r="D190" s="1213"/>
      <c r="E190" s="1213"/>
      <c r="F190" s="1213"/>
      <c r="G190" s="1213"/>
      <c r="H190" s="1213"/>
      <c r="I190" s="1213"/>
      <c r="J190" s="108" t="s">
        <v>470</v>
      </c>
      <c r="K190" s="101"/>
      <c r="L190" s="102" t="s">
        <v>118</v>
      </c>
      <c r="M190" s="102"/>
      <c r="N190" s="105"/>
      <c r="O190" s="109"/>
      <c r="P190" s="108" t="s">
        <v>470</v>
      </c>
      <c r="Q190" s="102"/>
      <c r="R190" s="102" t="s">
        <v>118</v>
      </c>
      <c r="S190" s="102"/>
      <c r="T190" s="105"/>
      <c r="U190" s="109"/>
      <c r="V190" s="108" t="s">
        <v>470</v>
      </c>
      <c r="W190" s="102"/>
      <c r="X190" s="102" t="s">
        <v>118</v>
      </c>
      <c r="Y190" s="102"/>
      <c r="Z190" s="105"/>
      <c r="AA190" s="109"/>
      <c r="AB190" s="108"/>
      <c r="AC190" s="102"/>
      <c r="AD190" s="102"/>
      <c r="AE190" s="102"/>
      <c r="AF190" s="105"/>
      <c r="AG190" s="109"/>
      <c r="AH190" s="108"/>
      <c r="AI190" s="102"/>
      <c r="AJ190" s="102"/>
      <c r="AK190" s="102"/>
      <c r="AL190" s="105"/>
      <c r="AM190" s="109"/>
      <c r="AN190" s="108"/>
      <c r="AO190" s="102"/>
      <c r="AP190" s="102"/>
      <c r="AQ190" s="102"/>
      <c r="AR190" s="102"/>
    </row>
    <row r="191" spans="1:44" ht="18.75">
      <c r="A191" s="1213"/>
      <c r="B191" s="1213"/>
      <c r="C191" s="1213"/>
      <c r="D191" s="1213"/>
      <c r="E191" s="1213"/>
      <c r="F191" s="1213"/>
      <c r="G191" s="1213"/>
      <c r="H191" s="1213"/>
      <c r="I191" s="1213"/>
      <c r="J191" s="108" t="s">
        <v>471</v>
      </c>
      <c r="K191" s="101"/>
      <c r="L191" s="102"/>
      <c r="M191" s="102"/>
      <c r="N191" s="105"/>
      <c r="O191" s="109"/>
      <c r="P191" s="108" t="s">
        <v>471</v>
      </c>
      <c r="Q191" s="102"/>
      <c r="R191" s="102"/>
      <c r="S191" s="102"/>
      <c r="T191" s="105"/>
      <c r="U191" s="109"/>
      <c r="V191" s="108" t="s">
        <v>471</v>
      </c>
      <c r="W191" s="102"/>
      <c r="X191" s="102"/>
      <c r="Y191" s="102"/>
      <c r="Z191" s="105"/>
      <c r="AA191" s="109"/>
      <c r="AB191" s="108" t="s">
        <v>471</v>
      </c>
      <c r="AC191" s="102"/>
      <c r="AD191" s="102"/>
      <c r="AE191" s="102"/>
      <c r="AF191" s="105"/>
      <c r="AG191" s="109"/>
      <c r="AH191" s="108" t="s">
        <v>471</v>
      </c>
      <c r="AI191" s="102"/>
      <c r="AJ191" s="102"/>
      <c r="AK191" s="102"/>
      <c r="AL191" s="105"/>
      <c r="AM191" s="109"/>
      <c r="AN191" s="108" t="s">
        <v>471</v>
      </c>
      <c r="AO191" s="102"/>
      <c r="AP191" s="102"/>
      <c r="AQ191" s="102"/>
      <c r="AR191" s="102"/>
    </row>
    <row r="192" spans="1:44" ht="19.5">
      <c r="A192" s="1233" t="s">
        <v>472</v>
      </c>
      <c r="B192" s="1234"/>
      <c r="C192" s="1234"/>
      <c r="D192" s="1234"/>
      <c r="E192" s="1234"/>
      <c r="F192" s="1234"/>
      <c r="G192" s="1234"/>
      <c r="H192" s="1234"/>
      <c r="I192" s="1234"/>
      <c r="J192" s="1234"/>
      <c r="K192" s="1234"/>
      <c r="L192" s="1234"/>
      <c r="M192" s="1234"/>
      <c r="N192" s="1234"/>
      <c r="O192" s="1234"/>
      <c r="P192" s="1234"/>
      <c r="Q192" s="1234"/>
      <c r="R192" s="1234"/>
      <c r="S192" s="1234"/>
      <c r="T192" s="1234"/>
      <c r="U192" s="1234"/>
      <c r="V192" s="1234"/>
      <c r="W192" s="1234"/>
      <c r="X192" s="1234"/>
      <c r="Y192" s="1234"/>
      <c r="Z192" s="1234"/>
      <c r="AA192" s="1234"/>
      <c r="AB192" s="1234"/>
      <c r="AC192" s="1234"/>
      <c r="AD192" s="1234"/>
      <c r="AE192" s="1234"/>
      <c r="AF192" s="1234"/>
      <c r="AG192" s="1234"/>
      <c r="AH192" s="1234"/>
      <c r="AI192" s="1234"/>
      <c r="AJ192" s="1234"/>
      <c r="AK192" s="1234"/>
      <c r="AL192" s="1234"/>
      <c r="AM192" s="1234"/>
      <c r="AN192" s="1234"/>
      <c r="AO192" s="1234"/>
      <c r="AP192" s="1234"/>
      <c r="AQ192" s="1234"/>
      <c r="AR192" s="1235"/>
    </row>
    <row r="193" spans="1:44" ht="18.75">
      <c r="A193" s="15">
        <v>1</v>
      </c>
      <c r="B193" s="16"/>
      <c r="C193" s="15"/>
      <c r="D193" s="15"/>
      <c r="E193" s="15"/>
      <c r="F193" s="15"/>
      <c r="G193" s="15"/>
      <c r="H193" s="15"/>
      <c r="I193" s="15"/>
      <c r="J193" s="15"/>
      <c r="K193" s="112"/>
      <c r="L193" s="15"/>
      <c r="M193" s="15"/>
      <c r="N193" s="15"/>
      <c r="O193" s="15"/>
      <c r="P193" s="15"/>
      <c r="Q193" s="15"/>
      <c r="R193" s="15"/>
      <c r="S193" s="44"/>
      <c r="T193" s="48"/>
      <c r="U193" s="44"/>
      <c r="V193" s="41"/>
      <c r="W193" s="41"/>
      <c r="X193" s="41"/>
      <c r="Y193" s="44"/>
      <c r="Z193" s="44"/>
      <c r="AA193" s="48"/>
      <c r="AB193" s="44"/>
      <c r="AC193" s="41"/>
      <c r="AD193" s="41"/>
      <c r="AE193" s="41"/>
      <c r="AF193" s="44"/>
      <c r="AG193" s="85"/>
      <c r="AH193" s="12"/>
      <c r="AI193" s="12"/>
      <c r="AJ193" s="12"/>
      <c r="AK193" s="12"/>
      <c r="AL193" s="12"/>
      <c r="AM193" s="12"/>
      <c r="AN193" s="12"/>
      <c r="AO193" s="12"/>
      <c r="AP193" s="12"/>
      <c r="AQ193" s="12"/>
      <c r="AR193" s="12"/>
    </row>
    <row r="194" spans="1:44" ht="18.75">
      <c r="A194" s="15">
        <v>2</v>
      </c>
      <c r="B194" s="16"/>
      <c r="C194" s="15"/>
      <c r="D194" s="15"/>
      <c r="E194" s="15"/>
      <c r="F194" s="15"/>
      <c r="G194" s="15"/>
      <c r="H194" s="15"/>
      <c r="I194" s="15"/>
      <c r="J194" s="15"/>
      <c r="K194" s="112"/>
      <c r="L194" s="15"/>
      <c r="M194" s="15"/>
      <c r="N194" s="15"/>
      <c r="O194" s="15"/>
      <c r="P194" s="15"/>
      <c r="Q194" s="15"/>
      <c r="R194" s="15"/>
      <c r="S194" s="44"/>
      <c r="T194" s="48"/>
      <c r="U194" s="44"/>
      <c r="V194" s="41"/>
      <c r="W194" s="41"/>
      <c r="X194" s="41"/>
      <c r="Y194" s="44"/>
      <c r="Z194" s="44"/>
      <c r="AA194" s="48"/>
      <c r="AB194" s="44"/>
      <c r="AC194" s="41"/>
      <c r="AD194" s="41"/>
      <c r="AE194" s="41"/>
      <c r="AF194" s="44"/>
      <c r="AG194" s="85"/>
      <c r="AH194" s="12"/>
      <c r="AI194" s="12"/>
      <c r="AJ194" s="12"/>
      <c r="AK194" s="12"/>
      <c r="AL194" s="12"/>
      <c r="AM194" s="12"/>
      <c r="AN194" s="12"/>
      <c r="AO194" s="12"/>
      <c r="AP194" s="12"/>
      <c r="AQ194" s="12"/>
      <c r="AR194" s="12"/>
    </row>
    <row r="195" spans="1:44" ht="18.75">
      <c r="A195" s="15">
        <v>3</v>
      </c>
      <c r="B195" s="16"/>
      <c r="C195" s="15"/>
      <c r="D195" s="15"/>
      <c r="E195" s="15"/>
      <c r="F195" s="15"/>
      <c r="G195" s="15"/>
      <c r="H195" s="15"/>
      <c r="I195" s="15"/>
      <c r="J195" s="15"/>
      <c r="K195" s="112"/>
      <c r="L195" s="15"/>
      <c r="M195" s="15"/>
      <c r="N195" s="15"/>
      <c r="O195" s="15"/>
      <c r="P195" s="15"/>
      <c r="Q195" s="15"/>
      <c r="R195" s="15"/>
      <c r="S195" s="44"/>
      <c r="T195" s="48"/>
      <c r="U195" s="44"/>
      <c r="V195" s="41"/>
      <c r="W195" s="41"/>
      <c r="X195" s="41"/>
      <c r="Y195" s="44"/>
      <c r="Z195" s="44"/>
      <c r="AA195" s="48"/>
      <c r="AB195" s="44"/>
      <c r="AC195" s="41"/>
      <c r="AD195" s="41"/>
      <c r="AE195" s="41"/>
      <c r="AF195" s="44"/>
      <c r="AG195" s="44"/>
      <c r="AH195" s="48"/>
      <c r="AI195" s="44"/>
      <c r="AJ195" s="41"/>
      <c r="AK195" s="41"/>
      <c r="AL195" s="44"/>
      <c r="AM195" s="44"/>
      <c r="AN195" s="48"/>
      <c r="AO195" s="44"/>
      <c r="AP195" s="41"/>
      <c r="AQ195" s="41"/>
      <c r="AR195" s="41"/>
    </row>
    <row r="196" spans="1:44" ht="18.75">
      <c r="A196" s="1236" t="s">
        <v>473</v>
      </c>
      <c r="B196" s="1237"/>
      <c r="C196" s="1238"/>
      <c r="D196" s="114"/>
      <c r="E196" s="114"/>
      <c r="F196" s="114"/>
      <c r="G196" s="114"/>
      <c r="H196" s="114"/>
      <c r="I196" s="114"/>
      <c r="J196" s="114"/>
      <c r="K196" s="115"/>
      <c r="L196" s="114"/>
      <c r="M196" s="114"/>
      <c r="N196" s="114"/>
      <c r="O196" s="114"/>
      <c r="P196" s="114"/>
      <c r="Q196" s="114"/>
      <c r="R196" s="114"/>
      <c r="S196" s="114"/>
      <c r="T196" s="114"/>
      <c r="U196" s="114"/>
      <c r="V196" s="114"/>
      <c r="W196" s="114"/>
      <c r="X196" s="114"/>
      <c r="Y196" s="114"/>
      <c r="Z196" s="114"/>
      <c r="AA196" s="114"/>
      <c r="AB196" s="114"/>
      <c r="AC196" s="114"/>
      <c r="AD196" s="114"/>
      <c r="AE196" s="114"/>
      <c r="AF196" s="114"/>
      <c r="AG196" s="114"/>
      <c r="AH196" s="114"/>
      <c r="AI196" s="114"/>
      <c r="AJ196" s="114"/>
      <c r="AK196" s="114"/>
      <c r="AL196" s="114"/>
      <c r="AM196" s="114"/>
      <c r="AN196" s="114"/>
      <c r="AO196" s="114"/>
      <c r="AP196" s="114"/>
      <c r="AQ196" s="114"/>
      <c r="AR196" s="114"/>
    </row>
    <row r="197" spans="1:44" ht="18.75">
      <c r="A197" s="1079" t="s">
        <v>474</v>
      </c>
      <c r="B197" s="1079"/>
      <c r="C197" s="1079"/>
      <c r="D197" s="1079"/>
      <c r="E197" s="1079"/>
      <c r="F197" s="1079"/>
      <c r="G197" s="1079"/>
      <c r="H197" s="1079"/>
      <c r="I197" s="1079"/>
      <c r="J197" s="1224" t="s">
        <v>114</v>
      </c>
      <c r="K197" s="117"/>
      <c r="L197" s="118" t="s">
        <v>17</v>
      </c>
      <c r="M197" s="118"/>
      <c r="N197" s="119"/>
      <c r="O197" s="120"/>
      <c r="P197" s="1224" t="s">
        <v>114</v>
      </c>
      <c r="Q197" s="118"/>
      <c r="R197" s="118" t="s">
        <v>17</v>
      </c>
      <c r="S197" s="118"/>
      <c r="T197" s="119"/>
      <c r="U197" s="120"/>
      <c r="V197" s="1224" t="s">
        <v>114</v>
      </c>
      <c r="W197" s="118"/>
      <c r="X197" s="118" t="s">
        <v>17</v>
      </c>
      <c r="Y197" s="118"/>
      <c r="Z197" s="119"/>
      <c r="AA197" s="120"/>
      <c r="AB197" s="1224" t="s">
        <v>114</v>
      </c>
      <c r="AC197" s="118"/>
      <c r="AD197" s="118" t="s">
        <v>17</v>
      </c>
      <c r="AE197" s="118"/>
      <c r="AF197" s="119"/>
      <c r="AG197" s="120"/>
      <c r="AH197" s="1224" t="s">
        <v>114</v>
      </c>
      <c r="AI197" s="118"/>
      <c r="AJ197" s="118" t="s">
        <v>17</v>
      </c>
      <c r="AK197" s="118"/>
      <c r="AL197" s="119"/>
      <c r="AM197" s="120"/>
      <c r="AN197" s="1224" t="s">
        <v>114</v>
      </c>
      <c r="AO197" s="118"/>
      <c r="AP197" s="118" t="s">
        <v>17</v>
      </c>
      <c r="AQ197" s="118"/>
      <c r="AR197" s="118"/>
    </row>
    <row r="198" spans="1:44" ht="18.75">
      <c r="A198" s="1079"/>
      <c r="B198" s="1079"/>
      <c r="C198" s="1079"/>
      <c r="D198" s="1079"/>
      <c r="E198" s="1079"/>
      <c r="F198" s="1079"/>
      <c r="G198" s="1079"/>
      <c r="H198" s="1079"/>
      <c r="I198" s="1079"/>
      <c r="J198" s="1225"/>
      <c r="K198" s="117"/>
      <c r="L198" s="118" t="s">
        <v>32</v>
      </c>
      <c r="M198" s="118"/>
      <c r="N198" s="122"/>
      <c r="O198" s="123"/>
      <c r="P198" s="1225"/>
      <c r="Q198" s="118"/>
      <c r="R198" s="118" t="s">
        <v>32</v>
      </c>
      <c r="S198" s="118"/>
      <c r="T198" s="122"/>
      <c r="U198" s="123"/>
      <c r="V198" s="1225"/>
      <c r="W198" s="118"/>
      <c r="X198" s="118" t="s">
        <v>32</v>
      </c>
      <c r="Y198" s="118"/>
      <c r="Z198" s="122"/>
      <c r="AA198" s="123"/>
      <c r="AB198" s="1225"/>
      <c r="AC198" s="118"/>
      <c r="AD198" s="118" t="s">
        <v>32</v>
      </c>
      <c r="AE198" s="118"/>
      <c r="AF198" s="122"/>
      <c r="AG198" s="123"/>
      <c r="AH198" s="1225"/>
      <c r="AI198" s="118"/>
      <c r="AJ198" s="118" t="s">
        <v>32</v>
      </c>
      <c r="AK198" s="118"/>
      <c r="AL198" s="122"/>
      <c r="AM198" s="123"/>
      <c r="AN198" s="1225"/>
      <c r="AO198" s="118"/>
      <c r="AP198" s="118" t="s">
        <v>32</v>
      </c>
      <c r="AQ198" s="118"/>
      <c r="AR198" s="118"/>
    </row>
    <row r="199" spans="1:44" ht="18.75">
      <c r="A199" s="1079"/>
      <c r="B199" s="1079"/>
      <c r="C199" s="1079"/>
      <c r="D199" s="1079"/>
      <c r="E199" s="1079"/>
      <c r="F199" s="1079"/>
      <c r="G199" s="1079"/>
      <c r="H199" s="1079"/>
      <c r="I199" s="1079"/>
      <c r="J199" s="1224" t="s">
        <v>115</v>
      </c>
      <c r="K199" s="117"/>
      <c r="L199" s="118" t="s">
        <v>17</v>
      </c>
      <c r="M199" s="118"/>
      <c r="N199" s="122"/>
      <c r="O199" s="123"/>
      <c r="P199" s="1224" t="s">
        <v>115</v>
      </c>
      <c r="Q199" s="118"/>
      <c r="R199" s="118" t="s">
        <v>17</v>
      </c>
      <c r="S199" s="118"/>
      <c r="T199" s="122"/>
      <c r="U199" s="123"/>
      <c r="V199" s="1224" t="s">
        <v>115</v>
      </c>
      <c r="W199" s="118"/>
      <c r="X199" s="118" t="s">
        <v>17</v>
      </c>
      <c r="Y199" s="118"/>
      <c r="Z199" s="122"/>
      <c r="AA199" s="123"/>
      <c r="AB199" s="1224" t="s">
        <v>115</v>
      </c>
      <c r="AC199" s="118"/>
      <c r="AD199" s="118" t="s">
        <v>17</v>
      </c>
      <c r="AE199" s="118"/>
      <c r="AF199" s="122"/>
      <c r="AG199" s="123"/>
      <c r="AH199" s="1224" t="s">
        <v>115</v>
      </c>
      <c r="AI199" s="118"/>
      <c r="AJ199" s="118" t="s">
        <v>17</v>
      </c>
      <c r="AK199" s="118"/>
      <c r="AL199" s="122"/>
      <c r="AM199" s="123"/>
      <c r="AN199" s="1224" t="s">
        <v>115</v>
      </c>
      <c r="AO199" s="118"/>
      <c r="AP199" s="118" t="s">
        <v>17</v>
      </c>
      <c r="AQ199" s="118"/>
      <c r="AR199" s="118"/>
    </row>
    <row r="200" spans="1:44" ht="18.75">
      <c r="A200" s="1079"/>
      <c r="B200" s="1079"/>
      <c r="C200" s="1079"/>
      <c r="D200" s="1079"/>
      <c r="E200" s="1079"/>
      <c r="F200" s="1079"/>
      <c r="G200" s="1079"/>
      <c r="H200" s="1079"/>
      <c r="I200" s="1079"/>
      <c r="J200" s="1225"/>
      <c r="K200" s="117"/>
      <c r="L200" s="118" t="s">
        <v>32</v>
      </c>
      <c r="M200" s="118"/>
      <c r="N200" s="122"/>
      <c r="O200" s="123"/>
      <c r="P200" s="1225"/>
      <c r="Q200" s="118"/>
      <c r="R200" s="118" t="s">
        <v>32</v>
      </c>
      <c r="S200" s="118"/>
      <c r="T200" s="122"/>
      <c r="U200" s="123"/>
      <c r="V200" s="1225"/>
      <c r="W200" s="118"/>
      <c r="X200" s="118" t="s">
        <v>32</v>
      </c>
      <c r="Y200" s="118"/>
      <c r="Z200" s="122"/>
      <c r="AA200" s="123"/>
      <c r="AB200" s="1225"/>
      <c r="AC200" s="118"/>
      <c r="AD200" s="118" t="s">
        <v>32</v>
      </c>
      <c r="AE200" s="118"/>
      <c r="AF200" s="122"/>
      <c r="AG200" s="123"/>
      <c r="AH200" s="1225"/>
      <c r="AI200" s="118"/>
      <c r="AJ200" s="118" t="s">
        <v>32</v>
      </c>
      <c r="AK200" s="118"/>
      <c r="AL200" s="122"/>
      <c r="AM200" s="123"/>
      <c r="AN200" s="1225"/>
      <c r="AO200" s="118"/>
      <c r="AP200" s="118" t="s">
        <v>32</v>
      </c>
      <c r="AQ200" s="118"/>
      <c r="AR200" s="118"/>
    </row>
    <row r="201" spans="1:44" ht="18.75">
      <c r="A201" s="1079"/>
      <c r="B201" s="1079"/>
      <c r="C201" s="1079"/>
      <c r="D201" s="1079"/>
      <c r="E201" s="1079"/>
      <c r="F201" s="1079"/>
      <c r="G201" s="1079"/>
      <c r="H201" s="1079"/>
      <c r="I201" s="1079"/>
      <c r="J201" s="1224" t="s">
        <v>116</v>
      </c>
      <c r="K201" s="117"/>
      <c r="L201" s="118" t="s">
        <v>17</v>
      </c>
      <c r="M201" s="118"/>
      <c r="N201" s="122"/>
      <c r="O201" s="123"/>
      <c r="P201" s="1224" t="s">
        <v>116</v>
      </c>
      <c r="Q201" s="118"/>
      <c r="R201" s="118" t="s">
        <v>17</v>
      </c>
      <c r="S201" s="118"/>
      <c r="T201" s="122"/>
      <c r="U201" s="123"/>
      <c r="V201" s="1224" t="s">
        <v>116</v>
      </c>
      <c r="W201" s="118"/>
      <c r="X201" s="118" t="s">
        <v>17</v>
      </c>
      <c r="Y201" s="118"/>
      <c r="Z201" s="122"/>
      <c r="AA201" s="123"/>
      <c r="AB201" s="1224" t="s">
        <v>116</v>
      </c>
      <c r="AC201" s="118"/>
      <c r="AD201" s="118" t="s">
        <v>17</v>
      </c>
      <c r="AE201" s="118"/>
      <c r="AF201" s="122"/>
      <c r="AG201" s="123"/>
      <c r="AH201" s="1224" t="s">
        <v>116</v>
      </c>
      <c r="AI201" s="118"/>
      <c r="AJ201" s="118" t="s">
        <v>17</v>
      </c>
      <c r="AK201" s="118"/>
      <c r="AL201" s="122"/>
      <c r="AM201" s="123"/>
      <c r="AN201" s="1224" t="s">
        <v>116</v>
      </c>
      <c r="AO201" s="118"/>
      <c r="AP201" s="118" t="s">
        <v>17</v>
      </c>
      <c r="AQ201" s="118"/>
      <c r="AR201" s="118"/>
    </row>
    <row r="202" spans="1:44" ht="18.75">
      <c r="A202" s="1079"/>
      <c r="B202" s="1079"/>
      <c r="C202" s="1079"/>
      <c r="D202" s="1079"/>
      <c r="E202" s="1079"/>
      <c r="F202" s="1079"/>
      <c r="G202" s="1079"/>
      <c r="H202" s="1079"/>
      <c r="I202" s="1079"/>
      <c r="J202" s="1225"/>
      <c r="K202" s="117"/>
      <c r="L202" s="118" t="s">
        <v>32</v>
      </c>
      <c r="M202" s="118"/>
      <c r="N202" s="122"/>
      <c r="O202" s="123"/>
      <c r="P202" s="1225"/>
      <c r="Q202" s="118"/>
      <c r="R202" s="118" t="s">
        <v>32</v>
      </c>
      <c r="S202" s="118"/>
      <c r="T202" s="122"/>
      <c r="U202" s="123"/>
      <c r="V202" s="1225"/>
      <c r="W202" s="118"/>
      <c r="X202" s="118" t="s">
        <v>32</v>
      </c>
      <c r="Y202" s="118"/>
      <c r="Z202" s="122"/>
      <c r="AA202" s="123"/>
      <c r="AB202" s="1225"/>
      <c r="AC202" s="118"/>
      <c r="AD202" s="118" t="s">
        <v>32</v>
      </c>
      <c r="AE202" s="118"/>
      <c r="AF202" s="122"/>
      <c r="AG202" s="123"/>
      <c r="AH202" s="1225"/>
      <c r="AI202" s="118"/>
      <c r="AJ202" s="118" t="s">
        <v>32</v>
      </c>
      <c r="AK202" s="118"/>
      <c r="AL202" s="122"/>
      <c r="AM202" s="123"/>
      <c r="AN202" s="1225"/>
      <c r="AO202" s="118"/>
      <c r="AP202" s="118" t="s">
        <v>32</v>
      </c>
      <c r="AQ202" s="118"/>
      <c r="AR202" s="118"/>
    </row>
    <row r="203" spans="1:44" ht="18.75">
      <c r="A203" s="1079"/>
      <c r="B203" s="1079"/>
      <c r="C203" s="1079"/>
      <c r="D203" s="1079"/>
      <c r="E203" s="1079"/>
      <c r="F203" s="1079"/>
      <c r="G203" s="1079"/>
      <c r="H203" s="1079"/>
      <c r="I203" s="1079"/>
      <c r="J203" s="1224" t="s">
        <v>117</v>
      </c>
      <c r="K203" s="117"/>
      <c r="L203" s="118" t="s">
        <v>17</v>
      </c>
      <c r="M203" s="118"/>
      <c r="N203" s="122"/>
      <c r="O203" s="123"/>
      <c r="P203" s="1224" t="s">
        <v>117</v>
      </c>
      <c r="Q203" s="118"/>
      <c r="R203" s="118" t="s">
        <v>17</v>
      </c>
      <c r="S203" s="118"/>
      <c r="T203" s="122"/>
      <c r="U203" s="123"/>
      <c r="V203" s="1224" t="s">
        <v>117</v>
      </c>
      <c r="W203" s="118"/>
      <c r="X203" s="118" t="s">
        <v>17</v>
      </c>
      <c r="Y203" s="118"/>
      <c r="Z203" s="122"/>
      <c r="AA203" s="123"/>
      <c r="AB203" s="1224" t="s">
        <v>117</v>
      </c>
      <c r="AC203" s="118"/>
      <c r="AD203" s="118" t="s">
        <v>17</v>
      </c>
      <c r="AE203" s="118"/>
      <c r="AF203" s="122"/>
      <c r="AG203" s="123"/>
      <c r="AH203" s="1224" t="s">
        <v>117</v>
      </c>
      <c r="AI203" s="118"/>
      <c r="AJ203" s="118" t="s">
        <v>17</v>
      </c>
      <c r="AK203" s="118"/>
      <c r="AL203" s="122"/>
      <c r="AM203" s="123"/>
      <c r="AN203" s="1224" t="s">
        <v>117</v>
      </c>
      <c r="AO203" s="118"/>
      <c r="AP203" s="118" t="s">
        <v>17</v>
      </c>
      <c r="AQ203" s="118"/>
      <c r="AR203" s="118"/>
    </row>
    <row r="204" spans="1:44" ht="18.75">
      <c r="A204" s="1079"/>
      <c r="B204" s="1079"/>
      <c r="C204" s="1079"/>
      <c r="D204" s="1079"/>
      <c r="E204" s="1079"/>
      <c r="F204" s="1079"/>
      <c r="G204" s="1079"/>
      <c r="H204" s="1079"/>
      <c r="I204" s="1079"/>
      <c r="J204" s="1225"/>
      <c r="K204" s="117"/>
      <c r="L204" s="118" t="s">
        <v>32</v>
      </c>
      <c r="M204" s="118"/>
      <c r="N204" s="122"/>
      <c r="O204" s="123"/>
      <c r="P204" s="1225"/>
      <c r="Q204" s="118"/>
      <c r="R204" s="118" t="s">
        <v>32</v>
      </c>
      <c r="S204" s="118"/>
      <c r="T204" s="122"/>
      <c r="U204" s="123"/>
      <c r="V204" s="1225"/>
      <c r="W204" s="118"/>
      <c r="X204" s="118" t="s">
        <v>32</v>
      </c>
      <c r="Y204" s="118"/>
      <c r="Z204" s="122"/>
      <c r="AA204" s="123"/>
      <c r="AB204" s="1225"/>
      <c r="AC204" s="118"/>
      <c r="AD204" s="118" t="s">
        <v>32</v>
      </c>
      <c r="AE204" s="118"/>
      <c r="AF204" s="122"/>
      <c r="AG204" s="123"/>
      <c r="AH204" s="1225"/>
      <c r="AI204" s="118"/>
      <c r="AJ204" s="118" t="s">
        <v>32</v>
      </c>
      <c r="AK204" s="118"/>
      <c r="AL204" s="122"/>
      <c r="AM204" s="123"/>
      <c r="AN204" s="1225"/>
      <c r="AO204" s="118"/>
      <c r="AP204" s="118" t="s">
        <v>32</v>
      </c>
      <c r="AQ204" s="118"/>
      <c r="AR204" s="118"/>
    </row>
    <row r="205" spans="1:44" ht="18.75">
      <c r="A205" s="1079"/>
      <c r="B205" s="1079"/>
      <c r="C205" s="1079"/>
      <c r="D205" s="1079"/>
      <c r="E205" s="1079"/>
      <c r="F205" s="1079"/>
      <c r="G205" s="1079"/>
      <c r="H205" s="1079"/>
      <c r="I205" s="1079"/>
      <c r="J205" s="1226" t="s">
        <v>462</v>
      </c>
      <c r="K205" s="117"/>
      <c r="L205" s="118" t="s">
        <v>32</v>
      </c>
      <c r="M205" s="1226"/>
      <c r="N205" s="122"/>
      <c r="O205" s="123"/>
      <c r="P205" s="1226" t="s">
        <v>462</v>
      </c>
      <c r="Q205" s="118"/>
      <c r="R205" s="118" t="s">
        <v>32</v>
      </c>
      <c r="S205" s="1226"/>
      <c r="T205" s="122"/>
      <c r="U205" s="123"/>
      <c r="V205" s="1226" t="s">
        <v>462</v>
      </c>
      <c r="W205" s="118"/>
      <c r="X205" s="118" t="s">
        <v>32</v>
      </c>
      <c r="Y205" s="1226"/>
      <c r="Z205" s="122"/>
      <c r="AA205" s="123"/>
      <c r="AB205" s="1226" t="s">
        <v>462</v>
      </c>
      <c r="AC205" s="118"/>
      <c r="AD205" s="118" t="s">
        <v>32</v>
      </c>
      <c r="AE205" s="1226"/>
      <c r="AF205" s="122"/>
      <c r="AG205" s="123"/>
      <c r="AH205" s="1226" t="s">
        <v>462</v>
      </c>
      <c r="AI205" s="118"/>
      <c r="AJ205" s="118" t="s">
        <v>32</v>
      </c>
      <c r="AK205" s="1226"/>
      <c r="AL205" s="122"/>
      <c r="AM205" s="123"/>
      <c r="AN205" s="1226" t="s">
        <v>462</v>
      </c>
      <c r="AO205" s="118"/>
      <c r="AP205" s="118" t="s">
        <v>32</v>
      </c>
      <c r="AQ205" s="1226"/>
      <c r="AR205" s="1226"/>
    </row>
    <row r="206" spans="1:44" ht="18.75">
      <c r="A206" s="1079"/>
      <c r="B206" s="1079"/>
      <c r="C206" s="1079"/>
      <c r="D206" s="1079"/>
      <c r="E206" s="1079"/>
      <c r="F206" s="1079"/>
      <c r="G206" s="1079"/>
      <c r="H206" s="1079"/>
      <c r="I206" s="1079"/>
      <c r="J206" s="1227"/>
      <c r="K206" s="117"/>
      <c r="L206" s="118" t="s">
        <v>17</v>
      </c>
      <c r="M206" s="1227"/>
      <c r="N206" s="122"/>
      <c r="O206" s="123"/>
      <c r="P206" s="1227"/>
      <c r="Q206" s="118"/>
      <c r="R206" s="118" t="s">
        <v>17</v>
      </c>
      <c r="S206" s="1227"/>
      <c r="T206" s="122"/>
      <c r="U206" s="123"/>
      <c r="V206" s="1227"/>
      <c r="W206" s="118"/>
      <c r="X206" s="118" t="s">
        <v>17</v>
      </c>
      <c r="Y206" s="1227"/>
      <c r="Z206" s="122"/>
      <c r="AA206" s="123"/>
      <c r="AB206" s="1227"/>
      <c r="AC206" s="118"/>
      <c r="AD206" s="118" t="s">
        <v>17</v>
      </c>
      <c r="AE206" s="1227"/>
      <c r="AF206" s="122"/>
      <c r="AG206" s="123"/>
      <c r="AH206" s="1227"/>
      <c r="AI206" s="118"/>
      <c r="AJ206" s="118" t="s">
        <v>17</v>
      </c>
      <c r="AK206" s="1227"/>
      <c r="AL206" s="122"/>
      <c r="AM206" s="123"/>
      <c r="AN206" s="1227"/>
      <c r="AO206" s="118"/>
      <c r="AP206" s="118" t="s">
        <v>17</v>
      </c>
      <c r="AQ206" s="1227"/>
      <c r="AR206" s="1227"/>
    </row>
    <row r="207" spans="1:44" ht="56.25">
      <c r="A207" s="1079"/>
      <c r="B207" s="1079"/>
      <c r="C207" s="1079"/>
      <c r="D207" s="1079"/>
      <c r="E207" s="1079"/>
      <c r="F207" s="1079"/>
      <c r="G207" s="1079"/>
      <c r="H207" s="1079"/>
      <c r="I207" s="1079"/>
      <c r="J207" s="124" t="s">
        <v>120</v>
      </c>
      <c r="K207" s="117"/>
      <c r="L207" s="118" t="s">
        <v>118</v>
      </c>
      <c r="M207" s="118"/>
      <c r="N207" s="122"/>
      <c r="O207" s="123"/>
      <c r="P207" s="124" t="s">
        <v>120</v>
      </c>
      <c r="Q207" s="118"/>
      <c r="R207" s="118" t="s">
        <v>118</v>
      </c>
      <c r="S207" s="118"/>
      <c r="T207" s="122"/>
      <c r="U207" s="123"/>
      <c r="V207" s="124" t="s">
        <v>120</v>
      </c>
      <c r="W207" s="118"/>
      <c r="X207" s="118" t="s">
        <v>118</v>
      </c>
      <c r="Y207" s="118"/>
      <c r="Z207" s="122"/>
      <c r="AA207" s="123"/>
      <c r="AB207" s="124" t="s">
        <v>120</v>
      </c>
      <c r="AC207" s="118"/>
      <c r="AD207" s="118" t="s">
        <v>118</v>
      </c>
      <c r="AE207" s="118"/>
      <c r="AF207" s="122"/>
      <c r="AG207" s="123"/>
      <c r="AH207" s="124" t="s">
        <v>120</v>
      </c>
      <c r="AI207" s="118"/>
      <c r="AJ207" s="118" t="s">
        <v>118</v>
      </c>
      <c r="AK207" s="118"/>
      <c r="AL207" s="122"/>
      <c r="AM207" s="123"/>
      <c r="AN207" s="124" t="s">
        <v>120</v>
      </c>
      <c r="AO207" s="118"/>
      <c r="AP207" s="118" t="s">
        <v>118</v>
      </c>
      <c r="AQ207" s="118"/>
      <c r="AR207" s="118"/>
    </row>
    <row r="208" spans="1:44" ht="56.25">
      <c r="A208" s="1079"/>
      <c r="B208" s="1079"/>
      <c r="C208" s="1079"/>
      <c r="D208" s="1079"/>
      <c r="E208" s="1079"/>
      <c r="F208" s="1079"/>
      <c r="G208" s="1079"/>
      <c r="H208" s="1079"/>
      <c r="I208" s="1079"/>
      <c r="J208" s="124" t="s">
        <v>93</v>
      </c>
      <c r="K208" s="117"/>
      <c r="L208" s="118" t="s">
        <v>118</v>
      </c>
      <c r="M208" s="118"/>
      <c r="N208" s="122"/>
      <c r="O208" s="123"/>
      <c r="P208" s="124" t="s">
        <v>93</v>
      </c>
      <c r="Q208" s="118"/>
      <c r="R208" s="118" t="s">
        <v>118</v>
      </c>
      <c r="S208" s="118"/>
      <c r="T208" s="122"/>
      <c r="U208" s="123"/>
      <c r="V208" s="124" t="s">
        <v>93</v>
      </c>
      <c r="W208" s="118"/>
      <c r="X208" s="118" t="s">
        <v>118</v>
      </c>
      <c r="Y208" s="118"/>
      <c r="Z208" s="122"/>
      <c r="AA208" s="123"/>
      <c r="AB208" s="124" t="s">
        <v>93</v>
      </c>
      <c r="AC208" s="118"/>
      <c r="AD208" s="118" t="s">
        <v>118</v>
      </c>
      <c r="AE208" s="118"/>
      <c r="AF208" s="122"/>
      <c r="AG208" s="123"/>
      <c r="AH208" s="124" t="s">
        <v>93</v>
      </c>
      <c r="AI208" s="118"/>
      <c r="AJ208" s="118" t="s">
        <v>118</v>
      </c>
      <c r="AK208" s="118"/>
      <c r="AL208" s="122"/>
      <c r="AM208" s="123"/>
      <c r="AN208" s="124" t="s">
        <v>93</v>
      </c>
      <c r="AO208" s="118"/>
      <c r="AP208" s="118" t="s">
        <v>118</v>
      </c>
      <c r="AQ208" s="118"/>
      <c r="AR208" s="118"/>
    </row>
    <row r="209" spans="1:44" ht="75">
      <c r="A209" s="1079"/>
      <c r="B209" s="1079"/>
      <c r="C209" s="1079"/>
      <c r="D209" s="1079"/>
      <c r="E209" s="1079"/>
      <c r="F209" s="1079"/>
      <c r="G209" s="1079"/>
      <c r="H209" s="1079"/>
      <c r="I209" s="1079"/>
      <c r="J209" s="124" t="s">
        <v>463</v>
      </c>
      <c r="K209" s="117"/>
      <c r="L209" s="118" t="s">
        <v>2681</v>
      </c>
      <c r="M209" s="118"/>
      <c r="N209" s="122"/>
      <c r="O209" s="123"/>
      <c r="P209" s="124" t="s">
        <v>463</v>
      </c>
      <c r="Q209" s="118"/>
      <c r="R209" s="118" t="s">
        <v>2681</v>
      </c>
      <c r="S209" s="118"/>
      <c r="T209" s="122"/>
      <c r="U209" s="123"/>
      <c r="V209" s="124" t="s">
        <v>463</v>
      </c>
      <c r="W209" s="118"/>
      <c r="X209" s="118" t="s">
        <v>2681</v>
      </c>
      <c r="Y209" s="118"/>
      <c r="Z209" s="122"/>
      <c r="AA209" s="123"/>
      <c r="AB209" s="124" t="s">
        <v>463</v>
      </c>
      <c r="AC209" s="118"/>
      <c r="AD209" s="118" t="s">
        <v>2681</v>
      </c>
      <c r="AE209" s="118"/>
      <c r="AF209" s="122"/>
      <c r="AG209" s="123"/>
      <c r="AH209" s="124" t="s">
        <v>463</v>
      </c>
      <c r="AI209" s="118"/>
      <c r="AJ209" s="118" t="s">
        <v>2681</v>
      </c>
      <c r="AK209" s="118"/>
      <c r="AL209" s="122"/>
      <c r="AM209" s="123"/>
      <c r="AN209" s="124" t="s">
        <v>463</v>
      </c>
      <c r="AO209" s="118"/>
      <c r="AP209" s="118" t="s">
        <v>2681</v>
      </c>
      <c r="AQ209" s="118"/>
      <c r="AR209" s="118"/>
    </row>
    <row r="210" spans="1:44" ht="37.5">
      <c r="A210" s="1079"/>
      <c r="B210" s="1079"/>
      <c r="C210" s="1079"/>
      <c r="D210" s="1079"/>
      <c r="E210" s="1079"/>
      <c r="F210" s="1079"/>
      <c r="G210" s="1079"/>
      <c r="H210" s="1079"/>
      <c r="I210" s="1079"/>
      <c r="J210" s="124" t="s">
        <v>464</v>
      </c>
      <c r="K210" s="117"/>
      <c r="L210" s="118" t="s">
        <v>32</v>
      </c>
      <c r="M210" s="118"/>
      <c r="N210" s="122"/>
      <c r="O210" s="123"/>
      <c r="P210" s="124" t="s">
        <v>464</v>
      </c>
      <c r="Q210" s="118"/>
      <c r="R210" s="118" t="s">
        <v>32</v>
      </c>
      <c r="S210" s="118"/>
      <c r="T210" s="122"/>
      <c r="U210" s="123"/>
      <c r="V210" s="124" t="s">
        <v>464</v>
      </c>
      <c r="W210" s="118"/>
      <c r="X210" s="118" t="s">
        <v>32</v>
      </c>
      <c r="Y210" s="118"/>
      <c r="Z210" s="122"/>
      <c r="AA210" s="123"/>
      <c r="AB210" s="124" t="s">
        <v>464</v>
      </c>
      <c r="AC210" s="118"/>
      <c r="AD210" s="118" t="s">
        <v>32</v>
      </c>
      <c r="AE210" s="118"/>
      <c r="AF210" s="122"/>
      <c r="AG210" s="123"/>
      <c r="AH210" s="124" t="s">
        <v>464</v>
      </c>
      <c r="AI210" s="118"/>
      <c r="AJ210" s="118" t="s">
        <v>32</v>
      </c>
      <c r="AK210" s="118"/>
      <c r="AL210" s="122"/>
      <c r="AM210" s="123"/>
      <c r="AN210" s="124" t="s">
        <v>464</v>
      </c>
      <c r="AO210" s="118"/>
      <c r="AP210" s="118" t="s">
        <v>32</v>
      </c>
      <c r="AQ210" s="118"/>
      <c r="AR210" s="118"/>
    </row>
    <row r="211" spans="1:44" ht="37.5">
      <c r="A211" s="1079"/>
      <c r="B211" s="1079"/>
      <c r="C211" s="1079"/>
      <c r="D211" s="1079"/>
      <c r="E211" s="1079"/>
      <c r="F211" s="1079"/>
      <c r="G211" s="1079"/>
      <c r="H211" s="1079"/>
      <c r="I211" s="1079"/>
      <c r="J211" s="124" t="s">
        <v>68</v>
      </c>
      <c r="K211" s="117"/>
      <c r="L211" s="118" t="s">
        <v>2681</v>
      </c>
      <c r="M211" s="118"/>
      <c r="N211" s="122"/>
      <c r="O211" s="123"/>
      <c r="P211" s="124" t="s">
        <v>68</v>
      </c>
      <c r="Q211" s="118"/>
      <c r="R211" s="118" t="s">
        <v>2681</v>
      </c>
      <c r="S211" s="118"/>
      <c r="T211" s="122"/>
      <c r="U211" s="123"/>
      <c r="V211" s="124" t="s">
        <v>68</v>
      </c>
      <c r="W211" s="118"/>
      <c r="X211" s="118" t="s">
        <v>2681</v>
      </c>
      <c r="Y211" s="118"/>
      <c r="Z211" s="122"/>
      <c r="AA211" s="123"/>
      <c r="AB211" s="124" t="s">
        <v>68</v>
      </c>
      <c r="AC211" s="118"/>
      <c r="AD211" s="118"/>
      <c r="AE211" s="118"/>
      <c r="AF211" s="122"/>
      <c r="AG211" s="123"/>
      <c r="AH211" s="124" t="s">
        <v>68</v>
      </c>
      <c r="AI211" s="118"/>
      <c r="AJ211" s="118"/>
      <c r="AK211" s="118"/>
      <c r="AL211" s="122"/>
      <c r="AM211" s="123"/>
      <c r="AN211" s="124" t="s">
        <v>68</v>
      </c>
      <c r="AO211" s="118"/>
      <c r="AP211" s="118"/>
      <c r="AQ211" s="118"/>
      <c r="AR211" s="118"/>
    </row>
    <row r="212" spans="1:44" ht="56.25">
      <c r="A212" s="1079"/>
      <c r="B212" s="1079"/>
      <c r="C212" s="1079"/>
      <c r="D212" s="1079"/>
      <c r="E212" s="1079"/>
      <c r="F212" s="1079"/>
      <c r="G212" s="1079"/>
      <c r="H212" s="1079"/>
      <c r="I212" s="1079"/>
      <c r="J212" s="124" t="s">
        <v>465</v>
      </c>
      <c r="K212" s="117"/>
      <c r="L212" s="118" t="s">
        <v>2681</v>
      </c>
      <c r="M212" s="118"/>
      <c r="N212" s="122"/>
      <c r="O212" s="125"/>
      <c r="P212" s="124" t="s">
        <v>465</v>
      </c>
      <c r="Q212" s="118"/>
      <c r="R212" s="118" t="s">
        <v>2681</v>
      </c>
      <c r="S212" s="118"/>
      <c r="T212" s="122"/>
      <c r="U212" s="125"/>
      <c r="V212" s="124" t="s">
        <v>465</v>
      </c>
      <c r="W212" s="118"/>
      <c r="X212" s="118" t="s">
        <v>2681</v>
      </c>
      <c r="Y212" s="118"/>
      <c r="Z212" s="122"/>
      <c r="AA212" s="125"/>
      <c r="AB212" s="124" t="s">
        <v>465</v>
      </c>
      <c r="AC212" s="118"/>
      <c r="AD212" s="118" t="s">
        <v>2681</v>
      </c>
      <c r="AE212" s="118"/>
      <c r="AF212" s="122"/>
      <c r="AG212" s="125"/>
      <c r="AH212" s="124" t="s">
        <v>465</v>
      </c>
      <c r="AI212" s="118"/>
      <c r="AJ212" s="118" t="s">
        <v>2681</v>
      </c>
      <c r="AK212" s="118"/>
      <c r="AL212" s="122"/>
      <c r="AM212" s="125"/>
      <c r="AN212" s="124" t="s">
        <v>465</v>
      </c>
      <c r="AO212" s="118"/>
      <c r="AP212" s="118" t="s">
        <v>2681</v>
      </c>
      <c r="AQ212" s="118"/>
      <c r="AR212" s="118"/>
    </row>
    <row r="213" spans="1:44" ht="37.5">
      <c r="A213" s="1079"/>
      <c r="B213" s="1079"/>
      <c r="C213" s="1079"/>
      <c r="D213" s="1079"/>
      <c r="E213" s="1079"/>
      <c r="F213" s="1079"/>
      <c r="G213" s="1079"/>
      <c r="H213" s="1079"/>
      <c r="I213" s="1079"/>
      <c r="J213" s="124" t="s">
        <v>112</v>
      </c>
      <c r="K213" s="117"/>
      <c r="L213" s="118" t="s">
        <v>32</v>
      </c>
      <c r="M213" s="118"/>
      <c r="N213" s="122"/>
      <c r="O213" s="125"/>
      <c r="P213" s="124" t="s">
        <v>112</v>
      </c>
      <c r="Q213" s="118"/>
      <c r="R213" s="118" t="s">
        <v>32</v>
      </c>
      <c r="S213" s="118"/>
      <c r="T213" s="122"/>
      <c r="U213" s="125"/>
      <c r="V213" s="124" t="s">
        <v>112</v>
      </c>
      <c r="W213" s="118"/>
      <c r="X213" s="118" t="s">
        <v>32</v>
      </c>
      <c r="Y213" s="118"/>
      <c r="Z213" s="122"/>
      <c r="AA213" s="125"/>
      <c r="AB213" s="124"/>
      <c r="AC213" s="118"/>
      <c r="AD213" s="118"/>
      <c r="AE213" s="118"/>
      <c r="AF213" s="122"/>
      <c r="AG213" s="125"/>
      <c r="AH213" s="124"/>
      <c r="AI213" s="118"/>
      <c r="AJ213" s="118"/>
      <c r="AK213" s="118"/>
      <c r="AL213" s="122"/>
      <c r="AM213" s="125"/>
      <c r="AN213" s="124"/>
      <c r="AO213" s="118"/>
      <c r="AP213" s="118"/>
      <c r="AQ213" s="118"/>
      <c r="AR213" s="118"/>
    </row>
    <row r="214" spans="1:44" ht="56.25">
      <c r="A214" s="1079"/>
      <c r="B214" s="1079"/>
      <c r="C214" s="1079"/>
      <c r="D214" s="1079"/>
      <c r="E214" s="1079"/>
      <c r="F214" s="1079"/>
      <c r="G214" s="1079"/>
      <c r="H214" s="1079"/>
      <c r="I214" s="1079"/>
      <c r="J214" s="124" t="s">
        <v>466</v>
      </c>
      <c r="K214" s="117"/>
      <c r="L214" s="118" t="s">
        <v>32</v>
      </c>
      <c r="M214" s="118"/>
      <c r="N214" s="122"/>
      <c r="O214" s="125"/>
      <c r="P214" s="124" t="s">
        <v>466</v>
      </c>
      <c r="Q214" s="118"/>
      <c r="R214" s="118" t="s">
        <v>32</v>
      </c>
      <c r="S214" s="118"/>
      <c r="T214" s="122"/>
      <c r="U214" s="125"/>
      <c r="V214" s="124" t="s">
        <v>466</v>
      </c>
      <c r="W214" s="118"/>
      <c r="X214" s="118" t="s">
        <v>32</v>
      </c>
      <c r="Y214" s="118"/>
      <c r="Z214" s="122"/>
      <c r="AA214" s="125"/>
      <c r="AB214" s="124"/>
      <c r="AC214" s="118"/>
      <c r="AD214" s="118"/>
      <c r="AE214" s="118"/>
      <c r="AF214" s="122"/>
      <c r="AG214" s="125"/>
      <c r="AH214" s="124"/>
      <c r="AI214" s="118"/>
      <c r="AJ214" s="118"/>
      <c r="AK214" s="118"/>
      <c r="AL214" s="122"/>
      <c r="AM214" s="125"/>
      <c r="AN214" s="124"/>
      <c r="AO214" s="118"/>
      <c r="AP214" s="118"/>
      <c r="AQ214" s="118"/>
      <c r="AR214" s="118"/>
    </row>
    <row r="215" spans="1:44" ht="56.25">
      <c r="A215" s="1079"/>
      <c r="B215" s="1079"/>
      <c r="C215" s="1079"/>
      <c r="D215" s="1079"/>
      <c r="E215" s="1079"/>
      <c r="F215" s="1079"/>
      <c r="G215" s="1079"/>
      <c r="H215" s="1079"/>
      <c r="I215" s="1079"/>
      <c r="J215" s="124" t="s">
        <v>467</v>
      </c>
      <c r="K215" s="117"/>
      <c r="L215" s="118" t="s">
        <v>32</v>
      </c>
      <c r="M215" s="118"/>
      <c r="N215" s="122"/>
      <c r="O215" s="125"/>
      <c r="P215" s="124" t="s">
        <v>467</v>
      </c>
      <c r="Q215" s="118"/>
      <c r="R215" s="118" t="s">
        <v>32</v>
      </c>
      <c r="S215" s="118"/>
      <c r="T215" s="122"/>
      <c r="U215" s="125"/>
      <c r="V215" s="124" t="s">
        <v>467</v>
      </c>
      <c r="W215" s="118"/>
      <c r="X215" s="118" t="s">
        <v>32</v>
      </c>
      <c r="Y215" s="118"/>
      <c r="Z215" s="122"/>
      <c r="AA215" s="125"/>
      <c r="AB215" s="124"/>
      <c r="AC215" s="118"/>
      <c r="AD215" s="118"/>
      <c r="AE215" s="118"/>
      <c r="AF215" s="122"/>
      <c r="AG215" s="125"/>
      <c r="AH215" s="124"/>
      <c r="AI215" s="118"/>
      <c r="AJ215" s="118"/>
      <c r="AK215" s="118"/>
      <c r="AL215" s="122"/>
      <c r="AM215" s="125"/>
      <c r="AN215" s="124"/>
      <c r="AO215" s="118"/>
      <c r="AP215" s="118"/>
      <c r="AQ215" s="118"/>
      <c r="AR215" s="118"/>
    </row>
    <row r="216" spans="1:44" ht="56.25">
      <c r="A216" s="1079"/>
      <c r="B216" s="1079"/>
      <c r="C216" s="1079"/>
      <c r="D216" s="1079"/>
      <c r="E216" s="1079"/>
      <c r="F216" s="1079"/>
      <c r="G216" s="1079"/>
      <c r="H216" s="1079"/>
      <c r="I216" s="1079"/>
      <c r="J216" s="124" t="s">
        <v>468</v>
      </c>
      <c r="K216" s="117"/>
      <c r="L216" s="118" t="s">
        <v>118</v>
      </c>
      <c r="M216" s="118"/>
      <c r="N216" s="122"/>
      <c r="O216" s="125"/>
      <c r="P216" s="124" t="s">
        <v>468</v>
      </c>
      <c r="Q216" s="118"/>
      <c r="R216" s="118" t="s">
        <v>118</v>
      </c>
      <c r="S216" s="118"/>
      <c r="T216" s="122"/>
      <c r="U216" s="125"/>
      <c r="V216" s="124" t="s">
        <v>468</v>
      </c>
      <c r="W216" s="118"/>
      <c r="X216" s="118" t="s">
        <v>118</v>
      </c>
      <c r="Y216" s="118"/>
      <c r="Z216" s="122"/>
      <c r="AA216" s="125"/>
      <c r="AB216" s="124"/>
      <c r="AC216" s="118"/>
      <c r="AD216" s="118"/>
      <c r="AE216" s="118"/>
      <c r="AF216" s="122"/>
      <c r="AG216" s="125"/>
      <c r="AH216" s="124"/>
      <c r="AI216" s="118"/>
      <c r="AJ216" s="118"/>
      <c r="AK216" s="118"/>
      <c r="AL216" s="122"/>
      <c r="AM216" s="125"/>
      <c r="AN216" s="124"/>
      <c r="AO216" s="118"/>
      <c r="AP216" s="118"/>
      <c r="AQ216" s="118"/>
      <c r="AR216" s="118"/>
    </row>
    <row r="217" spans="1:44" ht="56.25">
      <c r="A217" s="1079"/>
      <c r="B217" s="1079"/>
      <c r="C217" s="1079"/>
      <c r="D217" s="1079"/>
      <c r="E217" s="1079"/>
      <c r="F217" s="1079"/>
      <c r="G217" s="1079"/>
      <c r="H217" s="1079"/>
      <c r="I217" s="1079"/>
      <c r="J217" s="124" t="s">
        <v>469</v>
      </c>
      <c r="K217" s="117"/>
      <c r="L217" s="118" t="s">
        <v>2681</v>
      </c>
      <c r="M217" s="118"/>
      <c r="N217" s="122"/>
      <c r="O217" s="125"/>
      <c r="P217" s="124" t="s">
        <v>469</v>
      </c>
      <c r="Q217" s="118"/>
      <c r="R217" s="118" t="s">
        <v>2681</v>
      </c>
      <c r="S217" s="118"/>
      <c r="T217" s="122"/>
      <c r="U217" s="125"/>
      <c r="V217" s="124" t="s">
        <v>469</v>
      </c>
      <c r="W217" s="118"/>
      <c r="X217" s="118" t="s">
        <v>2681</v>
      </c>
      <c r="Y217" s="118"/>
      <c r="Z217" s="122"/>
      <c r="AA217" s="125"/>
      <c r="AB217" s="124"/>
      <c r="AC217" s="118"/>
      <c r="AD217" s="118"/>
      <c r="AE217" s="118"/>
      <c r="AF217" s="122"/>
      <c r="AG217" s="125"/>
      <c r="AH217" s="124"/>
      <c r="AI217" s="118"/>
      <c r="AJ217" s="118"/>
      <c r="AK217" s="118"/>
      <c r="AL217" s="122"/>
      <c r="AM217" s="125"/>
      <c r="AN217" s="124"/>
      <c r="AO217" s="118"/>
      <c r="AP217" s="118"/>
      <c r="AQ217" s="118"/>
      <c r="AR217" s="118"/>
    </row>
    <row r="218" spans="1:44" ht="131.25">
      <c r="A218" s="1079"/>
      <c r="B218" s="1079"/>
      <c r="C218" s="1079"/>
      <c r="D218" s="1079"/>
      <c r="E218" s="1079"/>
      <c r="F218" s="1079"/>
      <c r="G218" s="1079"/>
      <c r="H218" s="1079"/>
      <c r="I218" s="1079"/>
      <c r="J218" s="124" t="s">
        <v>470</v>
      </c>
      <c r="K218" s="117"/>
      <c r="L218" s="118" t="s">
        <v>118</v>
      </c>
      <c r="M218" s="118"/>
      <c r="N218" s="122"/>
      <c r="O218" s="125"/>
      <c r="P218" s="124" t="s">
        <v>470</v>
      </c>
      <c r="Q218" s="118"/>
      <c r="R218" s="118" t="s">
        <v>118</v>
      </c>
      <c r="S218" s="118"/>
      <c r="T218" s="122"/>
      <c r="U218" s="125"/>
      <c r="V218" s="124" t="s">
        <v>470</v>
      </c>
      <c r="W218" s="118"/>
      <c r="X218" s="118" t="s">
        <v>118</v>
      </c>
      <c r="Y218" s="118"/>
      <c r="Z218" s="122"/>
      <c r="AA218" s="125"/>
      <c r="AB218" s="124"/>
      <c r="AC218" s="118"/>
      <c r="AD218" s="118"/>
      <c r="AE218" s="118"/>
      <c r="AF218" s="122"/>
      <c r="AG218" s="125"/>
      <c r="AH218" s="124"/>
      <c r="AI218" s="118"/>
      <c r="AJ218" s="118"/>
      <c r="AK218" s="118"/>
      <c r="AL218" s="122"/>
      <c r="AM218" s="125"/>
      <c r="AN218" s="124"/>
      <c r="AO218" s="118"/>
      <c r="AP218" s="118"/>
      <c r="AQ218" s="118"/>
      <c r="AR218" s="118"/>
    </row>
    <row r="219" spans="1:44" ht="18.75">
      <c r="A219" s="1079"/>
      <c r="B219" s="1079"/>
      <c r="C219" s="1079"/>
      <c r="D219" s="1079"/>
      <c r="E219" s="1079"/>
      <c r="F219" s="1079"/>
      <c r="G219" s="1079"/>
      <c r="H219" s="1079"/>
      <c r="I219" s="1079"/>
      <c r="J219" s="124" t="s">
        <v>471</v>
      </c>
      <c r="K219" s="117"/>
      <c r="L219" s="118"/>
      <c r="M219" s="118"/>
      <c r="N219" s="122"/>
      <c r="O219" s="125"/>
      <c r="P219" s="124" t="s">
        <v>471</v>
      </c>
      <c r="Q219" s="118"/>
      <c r="R219" s="118"/>
      <c r="S219" s="118"/>
      <c r="T219" s="122"/>
      <c r="U219" s="125"/>
      <c r="V219" s="124" t="s">
        <v>471</v>
      </c>
      <c r="W219" s="118"/>
      <c r="X219" s="118"/>
      <c r="Y219" s="118"/>
      <c r="Z219" s="122"/>
      <c r="AA219" s="125"/>
      <c r="AB219" s="124" t="s">
        <v>471</v>
      </c>
      <c r="AC219" s="118"/>
      <c r="AD219" s="118"/>
      <c r="AE219" s="118"/>
      <c r="AF219" s="122"/>
      <c r="AG219" s="125"/>
      <c r="AH219" s="124" t="s">
        <v>471</v>
      </c>
      <c r="AI219" s="118"/>
      <c r="AJ219" s="118"/>
      <c r="AK219" s="118"/>
      <c r="AL219" s="122"/>
      <c r="AM219" s="125"/>
      <c r="AN219" s="124" t="s">
        <v>471</v>
      </c>
      <c r="AO219" s="118"/>
      <c r="AP219" s="118"/>
      <c r="AQ219" s="118"/>
      <c r="AR219" s="118"/>
    </row>
  </sheetData>
  <mergeCells count="786">
    <mergeCell ref="S141:S142"/>
    <mergeCell ref="Y143:Y144"/>
    <mergeCell ref="A1:AR1"/>
    <mergeCell ref="A7:AM7"/>
    <mergeCell ref="J201:J202"/>
    <mergeCell ref="P201:P202"/>
    <mergeCell ref="V201:V202"/>
    <mergeCell ref="AB201:AB202"/>
    <mergeCell ref="AH201:AH202"/>
    <mergeCell ref="AN201:AN202"/>
    <mergeCell ref="AR177:AR178"/>
    <mergeCell ref="A192:AR192"/>
    <mergeCell ref="A196:C196"/>
    <mergeCell ref="A197:I219"/>
    <mergeCell ref="J197:J198"/>
    <mergeCell ref="P197:P198"/>
    <mergeCell ref="V197:V198"/>
    <mergeCell ref="AB197:AB198"/>
    <mergeCell ref="AH197:AH198"/>
    <mergeCell ref="AN197:AN198"/>
    <mergeCell ref="AB177:AB178"/>
    <mergeCell ref="AE177:AE178"/>
    <mergeCell ref="AR205:AR206"/>
    <mergeCell ref="AB205:AB206"/>
    <mergeCell ref="AE205:AE206"/>
    <mergeCell ref="AH205:AH206"/>
    <mergeCell ref="AK205:AK206"/>
    <mergeCell ref="AN205:AN206"/>
    <mergeCell ref="AQ205:AQ206"/>
    <mergeCell ref="J205:J206"/>
    <mergeCell ref="M205:M206"/>
    <mergeCell ref="P205:P206"/>
    <mergeCell ref="S205:S206"/>
    <mergeCell ref="V205:V206"/>
    <mergeCell ref="Y205:Y206"/>
    <mergeCell ref="AQ177:AQ178"/>
    <mergeCell ref="J177:J178"/>
    <mergeCell ref="M177:M178"/>
    <mergeCell ref="J203:J204"/>
    <mergeCell ref="P203:P204"/>
    <mergeCell ref="V203:V204"/>
    <mergeCell ref="AB203:AB204"/>
    <mergeCell ref="AH203:AH204"/>
    <mergeCell ref="AN203:AN204"/>
    <mergeCell ref="J199:J200"/>
    <mergeCell ref="P199:P200"/>
    <mergeCell ref="V199:V200"/>
    <mergeCell ref="AB199:AB200"/>
    <mergeCell ref="AH199:AH200"/>
    <mergeCell ref="AN199:AN200"/>
    <mergeCell ref="AH177:AH178"/>
    <mergeCell ref="AK177:AK178"/>
    <mergeCell ref="AN177:AN178"/>
    <mergeCell ref="V177:V178"/>
    <mergeCell ref="Y177:Y178"/>
    <mergeCell ref="AN173:AN174"/>
    <mergeCell ref="J175:J176"/>
    <mergeCell ref="P175:P176"/>
    <mergeCell ref="V175:V176"/>
    <mergeCell ref="AB175:AB176"/>
    <mergeCell ref="AH175:AH176"/>
    <mergeCell ref="AN175:AN176"/>
    <mergeCell ref="V152:V153"/>
    <mergeCell ref="Y152:Y153"/>
    <mergeCell ref="AR154:AR156"/>
    <mergeCell ref="A168:C168"/>
    <mergeCell ref="A169:I191"/>
    <mergeCell ref="J169:J170"/>
    <mergeCell ref="P169:P170"/>
    <mergeCell ref="V169:V170"/>
    <mergeCell ref="AB169:AB170"/>
    <mergeCell ref="AH169:AH170"/>
    <mergeCell ref="AN169:AN170"/>
    <mergeCell ref="J171:J172"/>
    <mergeCell ref="P171:P172"/>
    <mergeCell ref="V171:V172"/>
    <mergeCell ref="AB171:AB172"/>
    <mergeCell ref="AH171:AH172"/>
    <mergeCell ref="AN171:AN172"/>
    <mergeCell ref="J173:J174"/>
    <mergeCell ref="P173:P174"/>
    <mergeCell ref="V173:V174"/>
    <mergeCell ref="AB173:AB174"/>
    <mergeCell ref="AH173:AH174"/>
    <mergeCell ref="P177:P178"/>
    <mergeCell ref="S177:S178"/>
    <mergeCell ref="A146:I162"/>
    <mergeCell ref="V150:V151"/>
    <mergeCell ref="AQ150:AQ151"/>
    <mergeCell ref="AH148:AH149"/>
    <mergeCell ref="AK148:AK149"/>
    <mergeCell ref="AN148:AN149"/>
    <mergeCell ref="AQ148:AQ149"/>
    <mergeCell ref="AB152:AB153"/>
    <mergeCell ref="AE152:AE153"/>
    <mergeCell ref="AH152:AH153"/>
    <mergeCell ref="AK152:AK153"/>
    <mergeCell ref="AN152:AN153"/>
    <mergeCell ref="AQ152:AQ153"/>
    <mergeCell ref="AQ146:AQ147"/>
    <mergeCell ref="J148:J149"/>
    <mergeCell ref="M148:M149"/>
    <mergeCell ref="P148:P149"/>
    <mergeCell ref="S148:S149"/>
    <mergeCell ref="V148:V149"/>
    <mergeCell ref="Y148:Y149"/>
    <mergeCell ref="AB148:AB149"/>
    <mergeCell ref="AE148:AE149"/>
    <mergeCell ref="V146:V147"/>
    <mergeCell ref="Y146:Y147"/>
    <mergeCell ref="AB146:AB147"/>
    <mergeCell ref="AE146:AE147"/>
    <mergeCell ref="AH146:AH147"/>
    <mergeCell ref="AK146:AK147"/>
    <mergeCell ref="J146:J147"/>
    <mergeCell ref="M146:M147"/>
    <mergeCell ref="P146:P147"/>
    <mergeCell ref="S146:S147"/>
    <mergeCell ref="A145:C145"/>
    <mergeCell ref="J150:J151"/>
    <mergeCell ref="M150:M151"/>
    <mergeCell ref="P150:P151"/>
    <mergeCell ref="S150:S151"/>
    <mergeCell ref="J152:J153"/>
    <mergeCell ref="M152:M153"/>
    <mergeCell ref="P152:P153"/>
    <mergeCell ref="S152:S153"/>
    <mergeCell ref="Y150:Y151"/>
    <mergeCell ref="AE143:AE144"/>
    <mergeCell ref="AH143:AH144"/>
    <mergeCell ref="AK143:AK144"/>
    <mergeCell ref="AN143:AN144"/>
    <mergeCell ref="J143:J144"/>
    <mergeCell ref="M143:M144"/>
    <mergeCell ref="P143:P144"/>
    <mergeCell ref="S143:S144"/>
    <mergeCell ref="V143:V144"/>
    <mergeCell ref="AB143:AB144"/>
    <mergeCell ref="AN146:AN147"/>
    <mergeCell ref="AB150:AB151"/>
    <mergeCell ref="AE150:AE151"/>
    <mergeCell ref="AH150:AH151"/>
    <mergeCell ref="AK150:AK151"/>
    <mergeCell ref="AN150:AN151"/>
    <mergeCell ref="I137:I138"/>
    <mergeCell ref="J137:J138"/>
    <mergeCell ref="G141:G142"/>
    <mergeCell ref="N141:N142"/>
    <mergeCell ref="O141:O142"/>
    <mergeCell ref="P141:P142"/>
    <mergeCell ref="A143:A144"/>
    <mergeCell ref="B143:B144"/>
    <mergeCell ref="C143:C144"/>
    <mergeCell ref="D143:D144"/>
    <mergeCell ref="E143:E144"/>
    <mergeCell ref="F143:F144"/>
    <mergeCell ref="A141:A142"/>
    <mergeCell ref="B141:B142"/>
    <mergeCell ref="C141:C142"/>
    <mergeCell ref="D141:D142"/>
    <mergeCell ref="E141:E142"/>
    <mergeCell ref="F141:F142"/>
    <mergeCell ref="G135:G136"/>
    <mergeCell ref="N135:N136"/>
    <mergeCell ref="O135:O136"/>
    <mergeCell ref="P135:P136"/>
    <mergeCell ref="S135:S136"/>
    <mergeCell ref="A137:A140"/>
    <mergeCell ref="B137:B140"/>
    <mergeCell ref="C137:C140"/>
    <mergeCell ref="D137:D140"/>
    <mergeCell ref="E137:E140"/>
    <mergeCell ref="A135:A136"/>
    <mergeCell ref="B135:B136"/>
    <mergeCell ref="C135:C136"/>
    <mergeCell ref="D135:D136"/>
    <mergeCell ref="E135:E136"/>
    <mergeCell ref="F135:F136"/>
    <mergeCell ref="M137:M138"/>
    <mergeCell ref="H139:H140"/>
    <mergeCell ref="I139:I140"/>
    <mergeCell ref="J139:J140"/>
    <mergeCell ref="M139:M140"/>
    <mergeCell ref="F137:F140"/>
    <mergeCell ref="G137:G140"/>
    <mergeCell ref="H137:H138"/>
    <mergeCell ref="P127:P128"/>
    <mergeCell ref="S127:S128"/>
    <mergeCell ref="A133:A134"/>
    <mergeCell ref="B133:B134"/>
    <mergeCell ref="C133:C134"/>
    <mergeCell ref="D133:D134"/>
    <mergeCell ref="E133:E134"/>
    <mergeCell ref="A131:A132"/>
    <mergeCell ref="B131:B132"/>
    <mergeCell ref="C131:C132"/>
    <mergeCell ref="D131:D132"/>
    <mergeCell ref="E131:E132"/>
    <mergeCell ref="F133:F134"/>
    <mergeCell ref="G133:G134"/>
    <mergeCell ref="N133:N134"/>
    <mergeCell ref="O133:O134"/>
    <mergeCell ref="P133:P134"/>
    <mergeCell ref="S133:S134"/>
    <mergeCell ref="G131:G132"/>
    <mergeCell ref="N131:N132"/>
    <mergeCell ref="O131:O132"/>
    <mergeCell ref="P131:P132"/>
    <mergeCell ref="S131:S132"/>
    <mergeCell ref="F131:F132"/>
    <mergeCell ref="A129:A130"/>
    <mergeCell ref="B129:B130"/>
    <mergeCell ref="C129:C130"/>
    <mergeCell ref="D129:D130"/>
    <mergeCell ref="E129:E130"/>
    <mergeCell ref="N125:N126"/>
    <mergeCell ref="O125:O126"/>
    <mergeCell ref="P125:P126"/>
    <mergeCell ref="S125:S126"/>
    <mergeCell ref="A127:A128"/>
    <mergeCell ref="B127:B128"/>
    <mergeCell ref="C127:C128"/>
    <mergeCell ref="D127:D128"/>
    <mergeCell ref="E127:E128"/>
    <mergeCell ref="F127:F128"/>
    <mergeCell ref="F129:F130"/>
    <mergeCell ref="G129:G130"/>
    <mergeCell ref="N129:N130"/>
    <mergeCell ref="O129:O130"/>
    <mergeCell ref="P129:P130"/>
    <mergeCell ref="S129:S130"/>
    <mergeCell ref="G127:G128"/>
    <mergeCell ref="N127:N128"/>
    <mergeCell ref="O127:O128"/>
    <mergeCell ref="M123:M124"/>
    <mergeCell ref="A125:A126"/>
    <mergeCell ref="B125:B126"/>
    <mergeCell ref="C125:C126"/>
    <mergeCell ref="D125:D126"/>
    <mergeCell ref="E125:E126"/>
    <mergeCell ref="F125:F126"/>
    <mergeCell ref="G125:G126"/>
    <mergeCell ref="G121:G124"/>
    <mergeCell ref="H121:H122"/>
    <mergeCell ref="I121:I122"/>
    <mergeCell ref="J121:J122"/>
    <mergeCell ref="M121:M122"/>
    <mergeCell ref="H123:H124"/>
    <mergeCell ref="I123:I124"/>
    <mergeCell ref="J123:J124"/>
    <mergeCell ref="A121:A124"/>
    <mergeCell ref="B121:B124"/>
    <mergeCell ref="C121:C124"/>
    <mergeCell ref="D121:D124"/>
    <mergeCell ref="E121:E124"/>
    <mergeCell ref="F121:F124"/>
    <mergeCell ref="G119:G120"/>
    <mergeCell ref="H119:H120"/>
    <mergeCell ref="I119:I120"/>
    <mergeCell ref="J119:J120"/>
    <mergeCell ref="M119:M120"/>
    <mergeCell ref="A119:A120"/>
    <mergeCell ref="B119:B120"/>
    <mergeCell ref="C119:C120"/>
    <mergeCell ref="D119:D120"/>
    <mergeCell ref="E119:E120"/>
    <mergeCell ref="F119:F120"/>
    <mergeCell ref="G117:G118"/>
    <mergeCell ref="H117:H118"/>
    <mergeCell ref="I117:I118"/>
    <mergeCell ref="J117:J118"/>
    <mergeCell ref="M117:M118"/>
    <mergeCell ref="A117:A118"/>
    <mergeCell ref="B117:B118"/>
    <mergeCell ref="C117:C118"/>
    <mergeCell ref="D117:D118"/>
    <mergeCell ref="E117:E118"/>
    <mergeCell ref="F117:F118"/>
    <mergeCell ref="G115:G116"/>
    <mergeCell ref="T115:T116"/>
    <mergeCell ref="U115:U116"/>
    <mergeCell ref="V115:V116"/>
    <mergeCell ref="AF115:AG115"/>
    <mergeCell ref="G113:G114"/>
    <mergeCell ref="N113:N114"/>
    <mergeCell ref="O113:O114"/>
    <mergeCell ref="P113:P114"/>
    <mergeCell ref="S113:S114"/>
    <mergeCell ref="Y115:Y116"/>
    <mergeCell ref="A111:A112"/>
    <mergeCell ref="B111:B112"/>
    <mergeCell ref="C111:C112"/>
    <mergeCell ref="D111:D112"/>
    <mergeCell ref="E111:E112"/>
    <mergeCell ref="F111:F112"/>
    <mergeCell ref="A115:A116"/>
    <mergeCell ref="B115:B116"/>
    <mergeCell ref="C115:C116"/>
    <mergeCell ref="D115:D116"/>
    <mergeCell ref="E115:E116"/>
    <mergeCell ref="A113:A114"/>
    <mergeCell ref="B113:B114"/>
    <mergeCell ref="C113:C114"/>
    <mergeCell ref="D113:D114"/>
    <mergeCell ref="E113:E114"/>
    <mergeCell ref="F115:F116"/>
    <mergeCell ref="F113:F114"/>
    <mergeCell ref="N105:N106"/>
    <mergeCell ref="O105:O106"/>
    <mergeCell ref="P105:P106"/>
    <mergeCell ref="N107:N108"/>
    <mergeCell ref="O107:O108"/>
    <mergeCell ref="N109:N110"/>
    <mergeCell ref="O109:O110"/>
    <mergeCell ref="G111:G112"/>
    <mergeCell ref="H111:H112"/>
    <mergeCell ref="I111:I112"/>
    <mergeCell ref="J111:J112"/>
    <mergeCell ref="M111:M112"/>
    <mergeCell ref="T97:U97"/>
    <mergeCell ref="A102:A103"/>
    <mergeCell ref="B102:B103"/>
    <mergeCell ref="C102:C103"/>
    <mergeCell ref="D102:D103"/>
    <mergeCell ref="E102:E103"/>
    <mergeCell ref="F102:F103"/>
    <mergeCell ref="G102:G103"/>
    <mergeCell ref="A105:A110"/>
    <mergeCell ref="B105:B110"/>
    <mergeCell ref="C105:C110"/>
    <mergeCell ref="D105:D110"/>
    <mergeCell ref="E105:E110"/>
    <mergeCell ref="F105:F110"/>
    <mergeCell ref="G105:G110"/>
    <mergeCell ref="H105:H106"/>
    <mergeCell ref="I105:I106"/>
    <mergeCell ref="S105:S106"/>
    <mergeCell ref="P107:P108"/>
    <mergeCell ref="S107:S108"/>
    <mergeCell ref="P109:P110"/>
    <mergeCell ref="S109:S110"/>
    <mergeCell ref="J105:J106"/>
    <mergeCell ref="M105:M106"/>
    <mergeCell ref="G92:G93"/>
    <mergeCell ref="H92:I92"/>
    <mergeCell ref="A97:A100"/>
    <mergeCell ref="B97:B100"/>
    <mergeCell ref="C97:C100"/>
    <mergeCell ref="D97:D100"/>
    <mergeCell ref="E97:E100"/>
    <mergeCell ref="F97:F100"/>
    <mergeCell ref="G97:G100"/>
    <mergeCell ref="A92:A93"/>
    <mergeCell ref="B92:B93"/>
    <mergeCell ref="C92:C93"/>
    <mergeCell ref="D92:D93"/>
    <mergeCell ref="E92:E93"/>
    <mergeCell ref="F92:F93"/>
    <mergeCell ref="G85:G86"/>
    <mergeCell ref="A87:A88"/>
    <mergeCell ref="B87:B88"/>
    <mergeCell ref="C87:C88"/>
    <mergeCell ref="D87:D88"/>
    <mergeCell ref="E87:E88"/>
    <mergeCell ref="F87:F88"/>
    <mergeCell ref="G87:G88"/>
    <mergeCell ref="A85:A86"/>
    <mergeCell ref="B85:B86"/>
    <mergeCell ref="C85:C86"/>
    <mergeCell ref="D85:D86"/>
    <mergeCell ref="E85:E86"/>
    <mergeCell ref="F85:F86"/>
    <mergeCell ref="P79:P80"/>
    <mergeCell ref="S79:S80"/>
    <mergeCell ref="A68:A69"/>
    <mergeCell ref="B68:B69"/>
    <mergeCell ref="A76:A77"/>
    <mergeCell ref="Z79:AA79"/>
    <mergeCell ref="P76:P77"/>
    <mergeCell ref="S76:S77"/>
    <mergeCell ref="Z76:AA76"/>
    <mergeCell ref="N76:N77"/>
    <mergeCell ref="O76:O77"/>
    <mergeCell ref="N79:N80"/>
    <mergeCell ref="O79:O80"/>
    <mergeCell ref="N68:N69"/>
    <mergeCell ref="N72:N73"/>
    <mergeCell ref="O72:O73"/>
    <mergeCell ref="A79:A84"/>
    <mergeCell ref="B79:B84"/>
    <mergeCell ref="C79:C84"/>
    <mergeCell ref="D79:D84"/>
    <mergeCell ref="E79:E84"/>
    <mergeCell ref="F79:F84"/>
    <mergeCell ref="G76:G77"/>
    <mergeCell ref="H76:H77"/>
    <mergeCell ref="I76:I77"/>
    <mergeCell ref="G79:G84"/>
    <mergeCell ref="H78:I78"/>
    <mergeCell ref="B76:B77"/>
    <mergeCell ref="C76:C77"/>
    <mergeCell ref="D76:D77"/>
    <mergeCell ref="E76:E77"/>
    <mergeCell ref="F76:F77"/>
    <mergeCell ref="J76:J77"/>
    <mergeCell ref="AQ70:AQ71"/>
    <mergeCell ref="AQ68:AQ69"/>
    <mergeCell ref="A70:A75"/>
    <mergeCell ref="B70:B75"/>
    <mergeCell ref="C70:C75"/>
    <mergeCell ref="D70:D75"/>
    <mergeCell ref="E70:E75"/>
    <mergeCell ref="F70:F75"/>
    <mergeCell ref="G70:G75"/>
    <mergeCell ref="N70:N71"/>
    <mergeCell ref="O70:O71"/>
    <mergeCell ref="O68:O69"/>
    <mergeCell ref="P68:P69"/>
    <mergeCell ref="S68:S69"/>
    <mergeCell ref="AL68:AL69"/>
    <mergeCell ref="AM68:AM69"/>
    <mergeCell ref="AN68:AN69"/>
    <mergeCell ref="P72:P73"/>
    <mergeCell ref="C68:C69"/>
    <mergeCell ref="D68:D69"/>
    <mergeCell ref="S72:S73"/>
    <mergeCell ref="E68:E69"/>
    <mergeCell ref="F68:F69"/>
    <mergeCell ref="G68:G69"/>
    <mergeCell ref="AN64:AN65"/>
    <mergeCell ref="O66:O67"/>
    <mergeCell ref="P66:P67"/>
    <mergeCell ref="S66:S67"/>
    <mergeCell ref="AL66:AL67"/>
    <mergeCell ref="AM66:AM67"/>
    <mergeCell ref="AL70:AL71"/>
    <mergeCell ref="AM70:AM71"/>
    <mergeCell ref="AN70:AN71"/>
    <mergeCell ref="P70:P71"/>
    <mergeCell ref="S70:S71"/>
    <mergeCell ref="AQ64:AQ65"/>
    <mergeCell ref="O64:O65"/>
    <mergeCell ref="P64:P65"/>
    <mergeCell ref="S64:S65"/>
    <mergeCell ref="AL64:AL65"/>
    <mergeCell ref="AN66:AN67"/>
    <mergeCell ref="AQ66:AQ67"/>
    <mergeCell ref="A66:A67"/>
    <mergeCell ref="B66:B67"/>
    <mergeCell ref="C66:C67"/>
    <mergeCell ref="D66:D67"/>
    <mergeCell ref="E66:E67"/>
    <mergeCell ref="F66:F67"/>
    <mergeCell ref="G66:G67"/>
    <mergeCell ref="G64:G65"/>
    <mergeCell ref="N64:N65"/>
    <mergeCell ref="A64:A65"/>
    <mergeCell ref="B64:B65"/>
    <mergeCell ref="C64:C65"/>
    <mergeCell ref="D64:D65"/>
    <mergeCell ref="E64:E65"/>
    <mergeCell ref="F64:F65"/>
    <mergeCell ref="N66:N67"/>
    <mergeCell ref="AM64:AM65"/>
    <mergeCell ref="N60:N61"/>
    <mergeCell ref="G62:G63"/>
    <mergeCell ref="H62:I62"/>
    <mergeCell ref="T60:T61"/>
    <mergeCell ref="U60:U61"/>
    <mergeCell ref="V60:V61"/>
    <mergeCell ref="Y60:Y61"/>
    <mergeCell ref="O60:O61"/>
    <mergeCell ref="P60:P61"/>
    <mergeCell ref="S60:S61"/>
    <mergeCell ref="F58:F59"/>
    <mergeCell ref="G58:G59"/>
    <mergeCell ref="A62:A63"/>
    <mergeCell ref="B62:B63"/>
    <mergeCell ref="C62:C63"/>
    <mergeCell ref="D62:D63"/>
    <mergeCell ref="E62:E63"/>
    <mergeCell ref="F62:F63"/>
    <mergeCell ref="F60:F61"/>
    <mergeCell ref="G60:G61"/>
    <mergeCell ref="A60:A61"/>
    <mergeCell ref="B60:B61"/>
    <mergeCell ref="C60:C61"/>
    <mergeCell ref="D60:D61"/>
    <mergeCell ref="E60:E61"/>
    <mergeCell ref="A58:A59"/>
    <mergeCell ref="B58:B59"/>
    <mergeCell ref="C58:C59"/>
    <mergeCell ref="D58:D59"/>
    <mergeCell ref="E58:E59"/>
    <mergeCell ref="N50:N51"/>
    <mergeCell ref="AL48:AL49"/>
    <mergeCell ref="AM48:AM49"/>
    <mergeCell ref="N58:N59"/>
    <mergeCell ref="O58:O59"/>
    <mergeCell ref="AN52:AN53"/>
    <mergeCell ref="AQ52:AQ53"/>
    <mergeCell ref="A54:A57"/>
    <mergeCell ref="B54:B57"/>
    <mergeCell ref="C54:C57"/>
    <mergeCell ref="D54:D57"/>
    <mergeCell ref="E54:E57"/>
    <mergeCell ref="F54:F57"/>
    <mergeCell ref="G54:G57"/>
    <mergeCell ref="N54:N55"/>
    <mergeCell ref="AL52:AL53"/>
    <mergeCell ref="AM52:AM53"/>
    <mergeCell ref="O54:O55"/>
    <mergeCell ref="P54:P55"/>
    <mergeCell ref="S54:S55"/>
    <mergeCell ref="A52:A53"/>
    <mergeCell ref="P58:P59"/>
    <mergeCell ref="B52:B53"/>
    <mergeCell ref="S58:S59"/>
    <mergeCell ref="D48:D49"/>
    <mergeCell ref="E48:E49"/>
    <mergeCell ref="F48:F49"/>
    <mergeCell ref="G48:G49"/>
    <mergeCell ref="C52:C53"/>
    <mergeCell ref="D52:D53"/>
    <mergeCell ref="E52:E53"/>
    <mergeCell ref="F52:F53"/>
    <mergeCell ref="G52:G53"/>
    <mergeCell ref="G50:G51"/>
    <mergeCell ref="P46:P47"/>
    <mergeCell ref="S46:S47"/>
    <mergeCell ref="AF46:AF47"/>
    <mergeCell ref="G38:G39"/>
    <mergeCell ref="N38:N39"/>
    <mergeCell ref="AG42:AG43"/>
    <mergeCell ref="AN48:AN49"/>
    <mergeCell ref="AQ48:AQ49"/>
    <mergeCell ref="A50:A51"/>
    <mergeCell ref="B50:B51"/>
    <mergeCell ref="C50:C51"/>
    <mergeCell ref="D50:D51"/>
    <mergeCell ref="E50:E51"/>
    <mergeCell ref="F50:F51"/>
    <mergeCell ref="AM50:AM51"/>
    <mergeCell ref="AN50:AN51"/>
    <mergeCell ref="AQ50:AQ51"/>
    <mergeCell ref="O50:O51"/>
    <mergeCell ref="P50:P51"/>
    <mergeCell ref="S50:S51"/>
    <mergeCell ref="AL50:AL51"/>
    <mergeCell ref="A48:A49"/>
    <mergeCell ref="B48:B49"/>
    <mergeCell ref="C48:C49"/>
    <mergeCell ref="AH42:AH43"/>
    <mergeCell ref="AK42:AK43"/>
    <mergeCell ref="A46:A47"/>
    <mergeCell ref="B46:B47"/>
    <mergeCell ref="C46:C47"/>
    <mergeCell ref="D46:D47"/>
    <mergeCell ref="E46:E47"/>
    <mergeCell ref="F46:F47"/>
    <mergeCell ref="G42:G43"/>
    <mergeCell ref="N42:N43"/>
    <mergeCell ref="O42:O43"/>
    <mergeCell ref="P42:P43"/>
    <mergeCell ref="S42:S43"/>
    <mergeCell ref="AF42:AF43"/>
    <mergeCell ref="A42:A45"/>
    <mergeCell ref="B42:B45"/>
    <mergeCell ref="C42:C45"/>
    <mergeCell ref="D42:D43"/>
    <mergeCell ref="E42:E43"/>
    <mergeCell ref="F42:F43"/>
    <mergeCell ref="AG46:AG47"/>
    <mergeCell ref="G46:G47"/>
    <mergeCell ref="N46:N47"/>
    <mergeCell ref="O46:O47"/>
    <mergeCell ref="A40:A41"/>
    <mergeCell ref="B40:B41"/>
    <mergeCell ref="C40:C41"/>
    <mergeCell ref="D40:D41"/>
    <mergeCell ref="E40:E41"/>
    <mergeCell ref="F40:F41"/>
    <mergeCell ref="G40:G41"/>
    <mergeCell ref="N40:N41"/>
    <mergeCell ref="O40:O41"/>
    <mergeCell ref="P40:P41"/>
    <mergeCell ref="S40:S41"/>
    <mergeCell ref="AF40:AF41"/>
    <mergeCell ref="AG40:AG41"/>
    <mergeCell ref="AH40:AH41"/>
    <mergeCell ref="AK40:AK41"/>
    <mergeCell ref="AK38:AK39"/>
    <mergeCell ref="AA38:AA39"/>
    <mergeCell ref="AB38:AB39"/>
    <mergeCell ref="AE38:AE39"/>
    <mergeCell ref="AF38:AF39"/>
    <mergeCell ref="AG38:AG39"/>
    <mergeCell ref="AH38:AH39"/>
    <mergeCell ref="O38:O39"/>
    <mergeCell ref="P38:P39"/>
    <mergeCell ref="S38:S39"/>
    <mergeCell ref="Z38:Z39"/>
    <mergeCell ref="M34:M35"/>
    <mergeCell ref="H36:H37"/>
    <mergeCell ref="I36:I37"/>
    <mergeCell ref="J36:J37"/>
    <mergeCell ref="A38:A39"/>
    <mergeCell ref="B38:B39"/>
    <mergeCell ref="C38:C39"/>
    <mergeCell ref="D38:D39"/>
    <mergeCell ref="E38:E39"/>
    <mergeCell ref="F38:F39"/>
    <mergeCell ref="F34:F37"/>
    <mergeCell ref="G34:G37"/>
    <mergeCell ref="H34:H35"/>
    <mergeCell ref="I34:I35"/>
    <mergeCell ref="J34:J35"/>
    <mergeCell ref="Z32:Z33"/>
    <mergeCell ref="AA32:AA33"/>
    <mergeCell ref="AB32:AB33"/>
    <mergeCell ref="AE32:AE33"/>
    <mergeCell ref="A34:A37"/>
    <mergeCell ref="B34:B37"/>
    <mergeCell ref="C34:C37"/>
    <mergeCell ref="D34:D37"/>
    <mergeCell ref="E34:E37"/>
    <mergeCell ref="C28:C29"/>
    <mergeCell ref="D28:D29"/>
    <mergeCell ref="E28:E29"/>
    <mergeCell ref="M28:M29"/>
    <mergeCell ref="A32:A33"/>
    <mergeCell ref="B32:B33"/>
    <mergeCell ref="C32:C33"/>
    <mergeCell ref="D32:D33"/>
    <mergeCell ref="E32:E33"/>
    <mergeCell ref="F32:F33"/>
    <mergeCell ref="G32:G33"/>
    <mergeCell ref="C22:C25"/>
    <mergeCell ref="D22:D25"/>
    <mergeCell ref="E22:E25"/>
    <mergeCell ref="F22:F25"/>
    <mergeCell ref="AL28:AM28"/>
    <mergeCell ref="A30:A31"/>
    <mergeCell ref="B30:B31"/>
    <mergeCell ref="C30:C31"/>
    <mergeCell ref="D30:D31"/>
    <mergeCell ref="E30:E31"/>
    <mergeCell ref="F30:F31"/>
    <mergeCell ref="G30:G31"/>
    <mergeCell ref="N30:N31"/>
    <mergeCell ref="F28:F29"/>
    <mergeCell ref="G28:G29"/>
    <mergeCell ref="H28:H29"/>
    <mergeCell ref="I28:I29"/>
    <mergeCell ref="J28:J29"/>
    <mergeCell ref="O30:O31"/>
    <mergeCell ref="P30:P31"/>
    <mergeCell ref="S30:S31"/>
    <mergeCell ref="AF30:AG30"/>
    <mergeCell ref="A28:A29"/>
    <mergeCell ref="B28:B29"/>
    <mergeCell ref="B20:B21"/>
    <mergeCell ref="C20:C21"/>
    <mergeCell ref="D20:D21"/>
    <mergeCell ref="E20:E21"/>
    <mergeCell ref="F20:F21"/>
    <mergeCell ref="G20:G21"/>
    <mergeCell ref="N20:N21"/>
    <mergeCell ref="A26:A27"/>
    <mergeCell ref="B26:B27"/>
    <mergeCell ref="C26:C27"/>
    <mergeCell ref="D26:D27"/>
    <mergeCell ref="E26:E27"/>
    <mergeCell ref="M22:M23"/>
    <mergeCell ref="N22:N23"/>
    <mergeCell ref="G26:G27"/>
    <mergeCell ref="N26:N27"/>
    <mergeCell ref="J24:J25"/>
    <mergeCell ref="M24:M25"/>
    <mergeCell ref="G22:G25"/>
    <mergeCell ref="J22:J23"/>
    <mergeCell ref="F26:F27"/>
    <mergeCell ref="I24:I25"/>
    <mergeCell ref="A22:A25"/>
    <mergeCell ref="B22:B25"/>
    <mergeCell ref="Y20:Y21"/>
    <mergeCell ref="O26:O27"/>
    <mergeCell ref="H22:H23"/>
    <mergeCell ref="I22:I23"/>
    <mergeCell ref="P26:P27"/>
    <mergeCell ref="S26:S27"/>
    <mergeCell ref="T20:T21"/>
    <mergeCell ref="U20:U21"/>
    <mergeCell ref="V20:V21"/>
    <mergeCell ref="O20:O21"/>
    <mergeCell ref="P20:P21"/>
    <mergeCell ref="S20:S21"/>
    <mergeCell ref="O22:O23"/>
    <mergeCell ref="P22:P23"/>
    <mergeCell ref="S22:S23"/>
    <mergeCell ref="H24:H25"/>
    <mergeCell ref="A13:A16"/>
    <mergeCell ref="B13:B16"/>
    <mergeCell ref="C13:C16"/>
    <mergeCell ref="D13:D16"/>
    <mergeCell ref="E13:E16"/>
    <mergeCell ref="F13:F16"/>
    <mergeCell ref="G13:G16"/>
    <mergeCell ref="H17:I17"/>
    <mergeCell ref="T17:U17"/>
    <mergeCell ref="A17:A18"/>
    <mergeCell ref="B17:B18"/>
    <mergeCell ref="C17:C18"/>
    <mergeCell ref="D17:D18"/>
    <mergeCell ref="E17:E18"/>
    <mergeCell ref="F17:F18"/>
    <mergeCell ref="G17:G18"/>
    <mergeCell ref="AR2:AR5"/>
    <mergeCell ref="H3:I4"/>
    <mergeCell ref="J3:J5"/>
    <mergeCell ref="K3:L4"/>
    <mergeCell ref="M3:M4"/>
    <mergeCell ref="N3:O4"/>
    <mergeCell ref="P3:P5"/>
    <mergeCell ref="Q3:R4"/>
    <mergeCell ref="AK3:AK4"/>
    <mergeCell ref="AL3:AM4"/>
    <mergeCell ref="AN3:AN5"/>
    <mergeCell ref="AO3:AP4"/>
    <mergeCell ref="AQ3:AQ4"/>
    <mergeCell ref="AB3:AB5"/>
    <mergeCell ref="AC3:AD4"/>
    <mergeCell ref="AE3:AE4"/>
    <mergeCell ref="AF3:AG4"/>
    <mergeCell ref="AH3:AH5"/>
    <mergeCell ref="AI3:AJ4"/>
    <mergeCell ref="S3:S4"/>
    <mergeCell ref="T3:U4"/>
    <mergeCell ref="V3:V5"/>
    <mergeCell ref="W3:X4"/>
    <mergeCell ref="Y3:Y4"/>
    <mergeCell ref="A10:A11"/>
    <mergeCell ref="B10:B11"/>
    <mergeCell ref="C10:C11"/>
    <mergeCell ref="D10:D11"/>
    <mergeCell ref="E10:E11"/>
    <mergeCell ref="F10:F11"/>
    <mergeCell ref="G10:G11"/>
    <mergeCell ref="U8:U9"/>
    <mergeCell ref="V8:V9"/>
    <mergeCell ref="B2:B5"/>
    <mergeCell ref="C2:C5"/>
    <mergeCell ref="D2:G3"/>
    <mergeCell ref="H2:M2"/>
    <mergeCell ref="N2:S2"/>
    <mergeCell ref="T2:Y2"/>
    <mergeCell ref="Z2:AE2"/>
    <mergeCell ref="H8:H9"/>
    <mergeCell ref="I8:I9"/>
    <mergeCell ref="AE8:AE9"/>
    <mergeCell ref="Y8:Y9"/>
    <mergeCell ref="Z8:Z9"/>
    <mergeCell ref="AQ143:AQ144"/>
    <mergeCell ref="AF2:AK2"/>
    <mergeCell ref="AL2:AQ2"/>
    <mergeCell ref="D4:E4"/>
    <mergeCell ref="F4:G4"/>
    <mergeCell ref="Z3:AA4"/>
    <mergeCell ref="A8:A9"/>
    <mergeCell ref="B8:B9"/>
    <mergeCell ref="C8:C9"/>
    <mergeCell ref="D8:D9"/>
    <mergeCell ref="E8:E9"/>
    <mergeCell ref="F8:F9"/>
    <mergeCell ref="G8:G9"/>
    <mergeCell ref="AA8:AA9"/>
    <mergeCell ref="AB8:AB9"/>
    <mergeCell ref="J8:J9"/>
    <mergeCell ref="N8:N9"/>
    <mergeCell ref="O8:O9"/>
    <mergeCell ref="P8:P9"/>
    <mergeCell ref="S8:S9"/>
    <mergeCell ref="T8:T9"/>
    <mergeCell ref="M8:M9"/>
    <mergeCell ref="M76:M77"/>
    <mergeCell ref="A2:A5"/>
  </mergeCells>
  <printOptions horizontalCentered="1"/>
  <pageMargins left="0.70866141732283472" right="0.31496062992125984" top="0.74803149606299213" bottom="0.74803149606299213" header="0.31496062992125984" footer="0.31496062992125984"/>
  <pageSetup paperSize="9" scale="34" fitToWidth="4" fitToHeight="20" orientation="portrait" r:id="rId1"/>
  <rowBreaks count="4" manualBreakCount="4">
    <brk id="69" max="16383" man="1"/>
    <brk id="132" max="16383" man="1"/>
    <brk id="162" max="16383" man="1"/>
    <brk id="191" max="16383" man="1"/>
  </rowBreaks>
  <colBreaks count="3" manualBreakCount="3">
    <brk id="13" max="1048575" man="1"/>
    <brk id="25" max="1048575" man="1"/>
    <brk id="37" max="1048575" man="1"/>
  </colBreaks>
</worksheet>
</file>

<file path=xl/worksheets/sheet4.xml><?xml version="1.0" encoding="utf-8"?>
<worksheet xmlns="http://schemas.openxmlformats.org/spreadsheetml/2006/main" xmlns:r="http://schemas.openxmlformats.org/officeDocument/2006/relationships">
  <dimension ref="A1:L14"/>
  <sheetViews>
    <sheetView view="pageBreakPreview" topLeftCell="A4" zoomScale="115" zoomScaleNormal="100" zoomScaleSheetLayoutView="115" workbookViewId="0">
      <selection sqref="A1:L1"/>
    </sheetView>
  </sheetViews>
  <sheetFormatPr defaultRowHeight="15"/>
  <cols>
    <col min="1" max="1" width="7.140625" customWidth="1"/>
    <col min="2" max="2" width="10" customWidth="1"/>
    <col min="3" max="3" width="46.7109375" customWidth="1"/>
    <col min="4" max="5" width="12.7109375" customWidth="1"/>
    <col min="6" max="6" width="13.42578125" customWidth="1"/>
    <col min="7" max="8" width="11.5703125" customWidth="1"/>
    <col min="9" max="9" width="19.42578125" customWidth="1"/>
    <col min="10" max="10" width="13" customWidth="1"/>
    <col min="11" max="11" width="17.42578125" customWidth="1"/>
    <col min="12" max="12" width="19.5703125" customWidth="1"/>
    <col min="13" max="24" width="30" customWidth="1"/>
  </cols>
  <sheetData>
    <row r="1" spans="1:12" ht="56.25" customHeight="1" thickBot="1">
      <c r="A1" s="1242" t="s">
        <v>3496</v>
      </c>
      <c r="B1" s="1242"/>
      <c r="C1" s="1242"/>
      <c r="D1" s="1242"/>
      <c r="E1" s="1242"/>
      <c r="F1" s="1242"/>
      <c r="G1" s="1242"/>
      <c r="H1" s="1242"/>
      <c r="I1" s="1242"/>
      <c r="J1" s="1242"/>
      <c r="K1" s="1242"/>
      <c r="L1" s="1242"/>
    </row>
    <row r="2" spans="1:12" ht="17.25" customHeight="1">
      <c r="A2" s="1243" t="s">
        <v>1</v>
      </c>
      <c r="B2" s="1245" t="s">
        <v>2</v>
      </c>
      <c r="C2" s="1245" t="s">
        <v>1271</v>
      </c>
      <c r="D2" s="1247" t="s">
        <v>1272</v>
      </c>
      <c r="E2" s="1247"/>
      <c r="F2" s="1247"/>
      <c r="G2" s="1247" t="s">
        <v>1273</v>
      </c>
      <c r="H2" s="1247"/>
      <c r="I2" s="1247"/>
      <c r="J2" s="1247"/>
      <c r="K2" s="1247"/>
      <c r="L2" s="1248" t="s">
        <v>1184</v>
      </c>
    </row>
    <row r="3" spans="1:12" ht="34.5" customHeight="1">
      <c r="A3" s="1244"/>
      <c r="B3" s="1246"/>
      <c r="C3" s="1246"/>
      <c r="D3" s="1014" t="s">
        <v>11</v>
      </c>
      <c r="E3" s="1014"/>
      <c r="F3" s="226" t="s">
        <v>1274</v>
      </c>
      <c r="G3" s="1014" t="s">
        <v>11</v>
      </c>
      <c r="H3" s="1014"/>
      <c r="I3" s="1014" t="s">
        <v>12</v>
      </c>
      <c r="J3" s="1014" t="s">
        <v>1275</v>
      </c>
      <c r="K3" s="300" t="s">
        <v>1276</v>
      </c>
      <c r="L3" s="1249"/>
    </row>
    <row r="4" spans="1:12" ht="27" customHeight="1">
      <c r="A4" s="1244"/>
      <c r="B4" s="1246"/>
      <c r="C4" s="1246"/>
      <c r="D4" s="437" t="s">
        <v>19</v>
      </c>
      <c r="E4" s="437" t="s">
        <v>20</v>
      </c>
      <c r="F4" s="226" t="s">
        <v>17</v>
      </c>
      <c r="G4" s="437" t="s">
        <v>19</v>
      </c>
      <c r="H4" s="437" t="s">
        <v>20</v>
      </c>
      <c r="I4" s="1014"/>
      <c r="J4" s="1014"/>
      <c r="K4" s="6" t="s">
        <v>23</v>
      </c>
      <c r="L4" s="1249"/>
    </row>
    <row r="5" spans="1:12">
      <c r="A5" s="572">
        <v>1</v>
      </c>
      <c r="B5" s="438">
        <v>2</v>
      </c>
      <c r="C5" s="438">
        <v>3</v>
      </c>
      <c r="D5" s="438">
        <v>4</v>
      </c>
      <c r="E5" s="438">
        <v>5</v>
      </c>
      <c r="F5" s="438">
        <v>6</v>
      </c>
      <c r="G5" s="438">
        <v>7</v>
      </c>
      <c r="H5" s="438">
        <v>8</v>
      </c>
      <c r="I5" s="439">
        <v>9</v>
      </c>
      <c r="J5" s="438">
        <v>10</v>
      </c>
      <c r="K5" s="438">
        <v>11</v>
      </c>
      <c r="L5" s="573">
        <v>12</v>
      </c>
    </row>
    <row r="6" spans="1:12" ht="18.75">
      <c r="A6" s="1239" t="s">
        <v>3512</v>
      </c>
      <c r="B6" s="1240"/>
      <c r="C6" s="1240"/>
      <c r="D6" s="1240"/>
      <c r="E6" s="1240"/>
      <c r="F6" s="1240"/>
      <c r="G6" s="1240"/>
      <c r="H6" s="1240"/>
      <c r="I6" s="1240"/>
      <c r="J6" s="1240"/>
      <c r="K6" s="1240"/>
      <c r="L6" s="1241"/>
    </row>
    <row r="7" spans="1:12" ht="33" customHeight="1">
      <c r="A7" s="574">
        <v>1</v>
      </c>
      <c r="B7" s="227"/>
      <c r="C7" s="228" t="s">
        <v>3498</v>
      </c>
      <c r="D7" s="229" t="s">
        <v>3499</v>
      </c>
      <c r="E7" s="230" t="s">
        <v>3497</v>
      </c>
      <c r="F7" s="231">
        <v>100.92</v>
      </c>
      <c r="G7" s="229" t="s">
        <v>3499</v>
      </c>
      <c r="H7" s="230" t="s">
        <v>3497</v>
      </c>
      <c r="I7" s="231" t="s">
        <v>116</v>
      </c>
      <c r="J7" s="232" t="s">
        <v>3509</v>
      </c>
      <c r="K7" s="233">
        <v>6559800</v>
      </c>
      <c r="L7" s="711" t="s">
        <v>3519</v>
      </c>
    </row>
    <row r="8" spans="1:12" ht="18.75">
      <c r="A8" s="1250" t="s">
        <v>1278</v>
      </c>
      <c r="B8" s="1251"/>
      <c r="C8" s="1251"/>
      <c r="D8" s="236"/>
      <c r="E8" s="236"/>
      <c r="F8" s="703">
        <f>SUM(F7:F7)</f>
        <v>100.92</v>
      </c>
      <c r="G8" s="707"/>
      <c r="H8" s="707"/>
      <c r="I8" s="708"/>
      <c r="J8" s="707"/>
      <c r="K8" s="709">
        <f>SUM(K7:K7)</f>
        <v>6559800</v>
      </c>
      <c r="L8" s="575"/>
    </row>
    <row r="9" spans="1:12" ht="26.25" customHeight="1">
      <c r="A9" s="1239" t="s">
        <v>1279</v>
      </c>
      <c r="B9" s="1240"/>
      <c r="C9" s="1240"/>
      <c r="D9" s="1240"/>
      <c r="E9" s="1240"/>
      <c r="F9" s="1240"/>
      <c r="G9" s="1240"/>
      <c r="H9" s="1240"/>
      <c r="I9" s="1240"/>
      <c r="J9" s="1240"/>
      <c r="K9" s="1240"/>
      <c r="L9" s="1241"/>
    </row>
    <row r="10" spans="1:12" ht="47.25" customHeight="1">
      <c r="A10" s="574">
        <v>2</v>
      </c>
      <c r="B10" s="227">
        <v>805463</v>
      </c>
      <c r="C10" s="301" t="s">
        <v>82</v>
      </c>
      <c r="D10" s="234" t="s">
        <v>1280</v>
      </c>
      <c r="E10" s="234" t="s">
        <v>1281</v>
      </c>
      <c r="F10" s="235">
        <v>3.133</v>
      </c>
      <c r="G10" s="234" t="s">
        <v>1280</v>
      </c>
      <c r="H10" s="234" t="s">
        <v>1281</v>
      </c>
      <c r="I10" s="231" t="s">
        <v>115</v>
      </c>
      <c r="J10" s="232" t="s">
        <v>3510</v>
      </c>
      <c r="K10" s="233">
        <v>310000</v>
      </c>
      <c r="L10" s="711" t="s">
        <v>2564</v>
      </c>
    </row>
    <row r="11" spans="1:12" ht="47.25" customHeight="1">
      <c r="A11" s="574">
        <v>3</v>
      </c>
      <c r="B11" s="227">
        <v>805453</v>
      </c>
      <c r="C11" s="301" t="s">
        <v>46</v>
      </c>
      <c r="D11" s="234" t="s">
        <v>1282</v>
      </c>
      <c r="E11" s="234" t="s">
        <v>1283</v>
      </c>
      <c r="F11" s="235">
        <v>6.32</v>
      </c>
      <c r="G11" s="234" t="s">
        <v>1282</v>
      </c>
      <c r="H11" s="234" t="s">
        <v>1283</v>
      </c>
      <c r="I11" s="231" t="s">
        <v>49</v>
      </c>
      <c r="J11" s="232" t="s">
        <v>3511</v>
      </c>
      <c r="K11" s="233">
        <v>7125</v>
      </c>
      <c r="L11" s="711"/>
    </row>
    <row r="12" spans="1:12" ht="84" customHeight="1">
      <c r="A12" s="574">
        <v>4</v>
      </c>
      <c r="B12" s="227">
        <v>805455</v>
      </c>
      <c r="C12" s="702" t="s">
        <v>55</v>
      </c>
      <c r="D12" s="234" t="s">
        <v>3514</v>
      </c>
      <c r="E12" s="234" t="s">
        <v>3513</v>
      </c>
      <c r="F12" s="235">
        <v>5.0999999999999996</v>
      </c>
      <c r="G12" s="234" t="s">
        <v>3516</v>
      </c>
      <c r="H12" s="234" t="s">
        <v>3515</v>
      </c>
      <c r="I12" s="231" t="s">
        <v>3517</v>
      </c>
      <c r="J12" s="232" t="s">
        <v>3509</v>
      </c>
      <c r="K12" s="233">
        <v>450000</v>
      </c>
      <c r="L12" s="711" t="s">
        <v>3518</v>
      </c>
    </row>
    <row r="13" spans="1:12" ht="21.75" customHeight="1">
      <c r="A13" s="1250" t="s">
        <v>1278</v>
      </c>
      <c r="B13" s="1251"/>
      <c r="C13" s="1251"/>
      <c r="D13" s="236"/>
      <c r="E13" s="236"/>
      <c r="F13" s="703">
        <f>SUM(F10:F12)</f>
        <v>14.552999999999999</v>
      </c>
      <c r="G13" s="704"/>
      <c r="H13" s="704"/>
      <c r="I13" s="705"/>
      <c r="J13" s="704"/>
      <c r="K13" s="710">
        <f>SUM(K10:K12)</f>
        <v>767125</v>
      </c>
      <c r="L13" s="575"/>
    </row>
    <row r="14" spans="1:12" ht="21.75" customHeight="1" thickBot="1">
      <c r="A14" s="1252" t="s">
        <v>2563</v>
      </c>
      <c r="B14" s="1253"/>
      <c r="C14" s="1253" t="s">
        <v>1287</v>
      </c>
      <c r="D14" s="576"/>
      <c r="E14" s="576"/>
      <c r="F14" s="577">
        <f>F13+F8</f>
        <v>115.473</v>
      </c>
      <c r="G14" s="1254"/>
      <c r="H14" s="1254"/>
      <c r="I14" s="1254"/>
      <c r="J14" s="706"/>
      <c r="K14" s="706">
        <f>K13+K8</f>
        <v>7326925</v>
      </c>
      <c r="L14" s="578"/>
    </row>
  </sheetData>
  <mergeCells count="17">
    <mergeCell ref="A8:C8"/>
    <mergeCell ref="A9:L9"/>
    <mergeCell ref="A13:C13"/>
    <mergeCell ref="A14:C14"/>
    <mergeCell ref="G14:I14"/>
    <mergeCell ref="A6:L6"/>
    <mergeCell ref="A1:L1"/>
    <mergeCell ref="A2:A4"/>
    <mergeCell ref="B2:B4"/>
    <mergeCell ref="C2:C4"/>
    <mergeCell ref="D2:F2"/>
    <mergeCell ref="G2:K2"/>
    <mergeCell ref="L2:L4"/>
    <mergeCell ref="D3:E3"/>
    <mergeCell ref="G3:H3"/>
    <mergeCell ref="I3:I4"/>
    <mergeCell ref="J3:J4"/>
  </mergeCells>
  <pageMargins left="0.7" right="0.7" top="0.75" bottom="0.75" header="0.3" footer="0.3"/>
  <pageSetup paperSize="9" scale="68" orientation="landscape" r:id="rId1"/>
</worksheet>
</file>

<file path=xl/worksheets/sheet5.xml><?xml version="1.0" encoding="utf-8"?>
<worksheet xmlns="http://schemas.openxmlformats.org/spreadsheetml/2006/main" xmlns:r="http://schemas.openxmlformats.org/officeDocument/2006/relationships">
  <dimension ref="A1:S616"/>
  <sheetViews>
    <sheetView view="pageBreakPreview" topLeftCell="A35" zoomScale="85" zoomScaleNormal="55" zoomScaleSheetLayoutView="85" zoomScalePageLayoutView="25" workbookViewId="0">
      <selection activeCell="D35" sqref="D35:E35"/>
    </sheetView>
  </sheetViews>
  <sheetFormatPr defaultRowHeight="15"/>
  <cols>
    <col min="1" max="1" width="26.140625" customWidth="1"/>
    <col min="2" max="2" width="18.28515625" style="302" customWidth="1"/>
    <col min="3" max="3" width="42.42578125" customWidth="1"/>
    <col min="4" max="5" width="18.5703125" customWidth="1"/>
    <col min="6" max="6" width="15.28515625" customWidth="1"/>
    <col min="7" max="7" width="34.42578125" customWidth="1"/>
    <col min="8" max="8" width="17.5703125" customWidth="1"/>
    <col min="9" max="9" width="15.28515625" customWidth="1"/>
    <col min="10" max="10" width="52.28515625" customWidth="1"/>
    <col min="11" max="12" width="16.7109375" customWidth="1"/>
    <col min="13" max="13" width="32.7109375" customWidth="1"/>
    <col min="14" max="15" width="16.7109375" customWidth="1"/>
    <col min="16" max="16" width="94.85546875" customWidth="1"/>
    <col min="17" max="17" width="23" customWidth="1"/>
    <col min="18" max="18" width="23.42578125" customWidth="1"/>
    <col min="19" max="19" width="26.5703125" customWidth="1"/>
    <col min="20" max="23" width="24.28515625" customWidth="1"/>
  </cols>
  <sheetData>
    <row r="1" spans="1:19" ht="135" customHeight="1">
      <c r="A1" s="1472" t="s">
        <v>1288</v>
      </c>
      <c r="B1" s="1472"/>
      <c r="C1" s="1472"/>
      <c r="D1" s="1472"/>
      <c r="E1" s="1472"/>
      <c r="F1" s="1472"/>
      <c r="G1" s="1472"/>
      <c r="H1" s="1472"/>
      <c r="I1" s="1472"/>
      <c r="J1" s="1472"/>
      <c r="K1" s="1472"/>
      <c r="L1" s="1472"/>
      <c r="M1" s="1472"/>
      <c r="N1" s="1472"/>
      <c r="O1" s="1472"/>
      <c r="P1" s="1472"/>
      <c r="Q1" s="1472"/>
      <c r="R1" s="1472"/>
      <c r="S1" s="1472"/>
    </row>
    <row r="2" spans="1:19" ht="60" customHeight="1">
      <c r="A2" s="1473" t="s">
        <v>1</v>
      </c>
      <c r="B2" s="1476" t="s">
        <v>2</v>
      </c>
      <c r="C2" s="1477" t="s">
        <v>2994</v>
      </c>
      <c r="D2" s="1455" t="s">
        <v>2995</v>
      </c>
      <c r="E2" s="1456"/>
      <c r="F2" s="1477" t="s">
        <v>2996</v>
      </c>
      <c r="G2" s="1477"/>
      <c r="H2" s="1477"/>
      <c r="I2" s="1477"/>
      <c r="J2" s="1478" t="s">
        <v>2998</v>
      </c>
      <c r="K2" s="1455" t="s">
        <v>2999</v>
      </c>
      <c r="L2" s="1456"/>
      <c r="M2" s="1478" t="s">
        <v>3000</v>
      </c>
      <c r="N2" s="1479" t="s">
        <v>3005</v>
      </c>
      <c r="O2" s="1479"/>
      <c r="P2" s="1479"/>
      <c r="Q2" s="1479"/>
      <c r="R2" s="1479"/>
      <c r="S2" s="1478" t="s">
        <v>1184</v>
      </c>
    </row>
    <row r="3" spans="1:19" ht="79.5" customHeight="1">
      <c r="A3" s="1474"/>
      <c r="B3" s="1476"/>
      <c r="C3" s="1477"/>
      <c r="D3" s="1457"/>
      <c r="E3" s="1458"/>
      <c r="F3" s="1459" t="s">
        <v>452</v>
      </c>
      <c r="G3" s="1459" t="s">
        <v>1289</v>
      </c>
      <c r="H3" s="1455" t="s">
        <v>2997</v>
      </c>
      <c r="I3" s="1456"/>
      <c r="J3" s="1478"/>
      <c r="K3" s="1457"/>
      <c r="L3" s="1458"/>
      <c r="M3" s="1478"/>
      <c r="N3" s="1464" t="s">
        <v>11</v>
      </c>
      <c r="O3" s="1465"/>
      <c r="P3" s="1343" t="s">
        <v>12</v>
      </c>
      <c r="Q3" s="1466" t="s">
        <v>3001</v>
      </c>
      <c r="R3" s="1469" t="s">
        <v>3002</v>
      </c>
      <c r="S3" s="1478"/>
    </row>
    <row r="4" spans="1:19" ht="12" customHeight="1">
      <c r="A4" s="1474"/>
      <c r="B4" s="1476"/>
      <c r="C4" s="1477"/>
      <c r="D4" s="1402" t="s">
        <v>19</v>
      </c>
      <c r="E4" s="1402" t="s">
        <v>20</v>
      </c>
      <c r="F4" s="1460"/>
      <c r="G4" s="1460"/>
      <c r="H4" s="1457"/>
      <c r="I4" s="1458"/>
      <c r="J4" s="1478"/>
      <c r="K4" s="1477" t="s">
        <v>1290</v>
      </c>
      <c r="L4" s="1477" t="s">
        <v>1291</v>
      </c>
      <c r="M4" s="1478"/>
      <c r="N4" s="1343" t="s">
        <v>19</v>
      </c>
      <c r="O4" s="1343" t="s">
        <v>20</v>
      </c>
      <c r="P4" s="1344"/>
      <c r="Q4" s="1467"/>
      <c r="R4" s="1470"/>
      <c r="S4" s="1478"/>
    </row>
    <row r="5" spans="1:19" ht="37.5" customHeight="1">
      <c r="A5" s="1475"/>
      <c r="B5" s="1476"/>
      <c r="C5" s="1477"/>
      <c r="D5" s="1402"/>
      <c r="E5" s="1402"/>
      <c r="F5" s="1461"/>
      <c r="G5" s="1461"/>
      <c r="H5" s="571" t="s">
        <v>1292</v>
      </c>
      <c r="I5" s="571" t="s">
        <v>1293</v>
      </c>
      <c r="J5" s="1478"/>
      <c r="K5" s="1477"/>
      <c r="L5" s="1477"/>
      <c r="M5" s="1478"/>
      <c r="N5" s="1345"/>
      <c r="O5" s="1345"/>
      <c r="P5" s="1345"/>
      <c r="Q5" s="1468"/>
      <c r="R5" s="1471"/>
      <c r="S5" s="1478"/>
    </row>
    <row r="6" spans="1:19" ht="38.25" customHeight="1">
      <c r="A6" s="315">
        <v>1</v>
      </c>
      <c r="B6" s="315">
        <v>2</v>
      </c>
      <c r="C6" s="315">
        <v>3</v>
      </c>
      <c r="D6" s="315">
        <v>4</v>
      </c>
      <c r="E6" s="315">
        <v>5</v>
      </c>
      <c r="F6" s="315">
        <v>6</v>
      </c>
      <c r="G6" s="315">
        <v>7</v>
      </c>
      <c r="H6" s="1462">
        <v>8</v>
      </c>
      <c r="I6" s="1463"/>
      <c r="J6" s="315">
        <v>9</v>
      </c>
      <c r="K6" s="315">
        <v>10</v>
      </c>
      <c r="L6" s="315">
        <v>11</v>
      </c>
      <c r="M6" s="315">
        <v>12</v>
      </c>
      <c r="N6" s="315">
        <v>13</v>
      </c>
      <c r="O6" s="315">
        <v>14</v>
      </c>
      <c r="P6" s="315">
        <v>15</v>
      </c>
      <c r="Q6" s="315">
        <v>16</v>
      </c>
      <c r="R6" s="237">
        <v>17</v>
      </c>
      <c r="S6" s="315">
        <v>18</v>
      </c>
    </row>
    <row r="7" spans="1:19" ht="63" customHeight="1">
      <c r="A7" s="1446" t="s">
        <v>3003</v>
      </c>
      <c r="B7" s="1447"/>
      <c r="C7" s="1447"/>
      <c r="D7" s="1447"/>
      <c r="E7" s="1447"/>
      <c r="F7" s="1447"/>
      <c r="G7" s="1447"/>
      <c r="H7" s="1447"/>
      <c r="I7" s="1447"/>
      <c r="J7" s="1447"/>
      <c r="K7" s="1447"/>
      <c r="L7" s="1447"/>
      <c r="M7" s="1447"/>
      <c r="N7" s="1447"/>
      <c r="O7" s="1447"/>
      <c r="P7" s="1447"/>
      <c r="Q7" s="1447"/>
      <c r="R7" s="1447"/>
      <c r="S7" s="1448"/>
    </row>
    <row r="8" spans="1:19" ht="62.25" customHeight="1">
      <c r="A8" s="1439" t="s">
        <v>1277</v>
      </c>
      <c r="B8" s="1440"/>
      <c r="C8" s="1440"/>
      <c r="D8" s="1440"/>
      <c r="E8" s="1440"/>
      <c r="F8" s="1440"/>
      <c r="G8" s="1440"/>
      <c r="H8" s="1440"/>
      <c r="I8" s="1440"/>
      <c r="J8" s="1440"/>
      <c r="K8" s="1440"/>
      <c r="L8" s="1440"/>
      <c r="M8" s="1440"/>
      <c r="N8" s="1440"/>
      <c r="O8" s="1440"/>
      <c r="P8" s="1440"/>
      <c r="Q8" s="1440"/>
      <c r="R8" s="1440"/>
      <c r="S8" s="1441"/>
    </row>
    <row r="9" spans="1:19" ht="93">
      <c r="A9" s="736">
        <v>1</v>
      </c>
      <c r="B9" s="736">
        <v>9789</v>
      </c>
      <c r="C9" s="729" t="s">
        <v>3521</v>
      </c>
      <c r="D9" s="736" t="s">
        <v>3522</v>
      </c>
      <c r="E9" s="736" t="s">
        <v>3523</v>
      </c>
      <c r="F9" s="729">
        <v>5</v>
      </c>
      <c r="G9" s="729">
        <v>0</v>
      </c>
      <c r="H9" s="1320" t="s">
        <v>3524</v>
      </c>
      <c r="I9" s="1321"/>
      <c r="J9" s="733" t="s">
        <v>3525</v>
      </c>
      <c r="K9" s="731">
        <v>2</v>
      </c>
      <c r="L9" s="731">
        <v>8</v>
      </c>
      <c r="M9" s="734" t="s">
        <v>1410</v>
      </c>
      <c r="N9" s="729" t="s">
        <v>3522</v>
      </c>
      <c r="O9" s="729" t="s">
        <v>3523</v>
      </c>
      <c r="P9" s="737" t="s">
        <v>3526</v>
      </c>
      <c r="Q9" s="738">
        <v>2019</v>
      </c>
      <c r="R9" s="739"/>
      <c r="S9" s="740"/>
    </row>
    <row r="10" spans="1:19" ht="93">
      <c r="A10" s="741">
        <v>2</v>
      </c>
      <c r="B10" s="736">
        <v>9789</v>
      </c>
      <c r="C10" s="742" t="s">
        <v>3521</v>
      </c>
      <c r="D10" s="741" t="s">
        <v>3527</v>
      </c>
      <c r="E10" s="741" t="s">
        <v>3528</v>
      </c>
      <c r="F10" s="742">
        <v>5</v>
      </c>
      <c r="G10" s="742">
        <v>0</v>
      </c>
      <c r="H10" s="1260" t="s">
        <v>3529</v>
      </c>
      <c r="I10" s="1261"/>
      <c r="J10" s="743" t="s">
        <v>3530</v>
      </c>
      <c r="K10" s="744">
        <v>0</v>
      </c>
      <c r="L10" s="744">
        <v>7</v>
      </c>
      <c r="M10" s="734" t="s">
        <v>1410</v>
      </c>
      <c r="N10" s="745" t="s">
        <v>3527</v>
      </c>
      <c r="O10" s="745" t="s">
        <v>3528</v>
      </c>
      <c r="P10" s="737" t="s">
        <v>3526</v>
      </c>
      <c r="Q10" s="746">
        <v>2019</v>
      </c>
      <c r="R10" s="747"/>
      <c r="S10" s="731"/>
    </row>
    <row r="11" spans="1:19" ht="93">
      <c r="A11" s="745">
        <v>3</v>
      </c>
      <c r="B11" s="736">
        <v>9789</v>
      </c>
      <c r="C11" s="744" t="s">
        <v>3521</v>
      </c>
      <c r="D11" s="745" t="s">
        <v>3531</v>
      </c>
      <c r="E11" s="745" t="s">
        <v>3532</v>
      </c>
      <c r="F11" s="744">
        <v>3</v>
      </c>
      <c r="G11" s="744">
        <v>0</v>
      </c>
      <c r="H11" s="1307" t="s">
        <v>3533</v>
      </c>
      <c r="I11" s="1308"/>
      <c r="J11" s="743" t="s">
        <v>1296</v>
      </c>
      <c r="K11" s="744">
        <v>2</v>
      </c>
      <c r="L11" s="744">
        <v>4</v>
      </c>
      <c r="M11" s="734" t="s">
        <v>1410</v>
      </c>
      <c r="N11" s="745" t="s">
        <v>3531</v>
      </c>
      <c r="O11" s="745" t="s">
        <v>3532</v>
      </c>
      <c r="P11" s="737" t="s">
        <v>3526</v>
      </c>
      <c r="Q11" s="746">
        <v>2019</v>
      </c>
      <c r="R11" s="739"/>
      <c r="S11" s="731"/>
    </row>
    <row r="12" spans="1:19" ht="93">
      <c r="A12" s="745">
        <v>4</v>
      </c>
      <c r="B12" s="736">
        <v>9789</v>
      </c>
      <c r="C12" s="744" t="s">
        <v>3521</v>
      </c>
      <c r="D12" s="745" t="s">
        <v>3534</v>
      </c>
      <c r="E12" s="745" t="s">
        <v>3535</v>
      </c>
      <c r="F12" s="744">
        <v>3</v>
      </c>
      <c r="G12" s="744">
        <v>0</v>
      </c>
      <c r="H12" s="1307" t="s">
        <v>3533</v>
      </c>
      <c r="I12" s="1308"/>
      <c r="J12" s="743" t="s">
        <v>1296</v>
      </c>
      <c r="K12" s="744">
        <v>1</v>
      </c>
      <c r="L12" s="744">
        <v>7</v>
      </c>
      <c r="M12" s="734" t="s">
        <v>1410</v>
      </c>
      <c r="N12" s="745" t="s">
        <v>3534</v>
      </c>
      <c r="O12" s="745" t="s">
        <v>3535</v>
      </c>
      <c r="P12" s="737" t="s">
        <v>3526</v>
      </c>
      <c r="Q12" s="746">
        <v>2019</v>
      </c>
      <c r="R12" s="739"/>
      <c r="S12" s="731"/>
    </row>
    <row r="13" spans="1:19" ht="93">
      <c r="A13" s="741">
        <v>5</v>
      </c>
      <c r="B13" s="736">
        <v>9789</v>
      </c>
      <c r="C13" s="742" t="s">
        <v>3521</v>
      </c>
      <c r="D13" s="741" t="s">
        <v>3536</v>
      </c>
      <c r="E13" s="741" t="s">
        <v>3537</v>
      </c>
      <c r="F13" s="742">
        <v>5</v>
      </c>
      <c r="G13" s="742">
        <v>0</v>
      </c>
      <c r="H13" s="1260" t="s">
        <v>3538</v>
      </c>
      <c r="I13" s="1261"/>
      <c r="J13" s="743" t="s">
        <v>3525</v>
      </c>
      <c r="K13" s="744">
        <v>0</v>
      </c>
      <c r="L13" s="744">
        <v>11</v>
      </c>
      <c r="M13" s="734" t="s">
        <v>1410</v>
      </c>
      <c r="N13" s="745" t="s">
        <v>3536</v>
      </c>
      <c r="O13" s="745" t="s">
        <v>3537</v>
      </c>
      <c r="P13" s="737" t="s">
        <v>3526</v>
      </c>
      <c r="Q13" s="746">
        <v>2019</v>
      </c>
      <c r="R13" s="748"/>
      <c r="S13" s="749"/>
    </row>
    <row r="14" spans="1:19" ht="93">
      <c r="A14" s="741">
        <v>6</v>
      </c>
      <c r="B14" s="736">
        <v>9789</v>
      </c>
      <c r="C14" s="742" t="s">
        <v>3521</v>
      </c>
      <c r="D14" s="741" t="s">
        <v>3539</v>
      </c>
      <c r="E14" s="741" t="s">
        <v>3540</v>
      </c>
      <c r="F14" s="742">
        <v>6</v>
      </c>
      <c r="G14" s="742">
        <v>0</v>
      </c>
      <c r="H14" s="1260" t="s">
        <v>3541</v>
      </c>
      <c r="I14" s="1261"/>
      <c r="J14" s="743" t="s">
        <v>3542</v>
      </c>
      <c r="K14" s="744">
        <v>4</v>
      </c>
      <c r="L14" s="744">
        <v>13</v>
      </c>
      <c r="M14" s="734" t="s">
        <v>1410</v>
      </c>
      <c r="N14" s="745" t="s">
        <v>3539</v>
      </c>
      <c r="O14" s="745" t="s">
        <v>3540</v>
      </c>
      <c r="P14" s="737" t="s">
        <v>3526</v>
      </c>
      <c r="Q14" s="746">
        <v>2019</v>
      </c>
      <c r="R14" s="748"/>
      <c r="S14" s="749"/>
    </row>
    <row r="15" spans="1:19" ht="45">
      <c r="A15" s="741">
        <v>7</v>
      </c>
      <c r="B15" s="736">
        <v>9789</v>
      </c>
      <c r="C15" s="742" t="s">
        <v>3521</v>
      </c>
      <c r="D15" s="741" t="s">
        <v>3543</v>
      </c>
      <c r="E15" s="741" t="s">
        <v>3544</v>
      </c>
      <c r="F15" s="742">
        <v>4</v>
      </c>
      <c r="G15" s="742">
        <v>0</v>
      </c>
      <c r="H15" s="1260" t="s">
        <v>3545</v>
      </c>
      <c r="I15" s="1261"/>
      <c r="J15" s="743" t="s">
        <v>3546</v>
      </c>
      <c r="K15" s="744">
        <v>2</v>
      </c>
      <c r="L15" s="744">
        <v>3</v>
      </c>
      <c r="M15" s="734" t="s">
        <v>1410</v>
      </c>
      <c r="N15" s="745" t="s">
        <v>3543</v>
      </c>
      <c r="O15" s="745" t="s">
        <v>3544</v>
      </c>
      <c r="P15" s="750" t="s">
        <v>3547</v>
      </c>
      <c r="Q15" s="746">
        <v>2019</v>
      </c>
      <c r="R15" s="748"/>
      <c r="S15" s="749"/>
    </row>
    <row r="16" spans="1:19" ht="67.5">
      <c r="A16" s="741">
        <v>8</v>
      </c>
      <c r="B16" s="736">
        <v>9789</v>
      </c>
      <c r="C16" s="742" t="s">
        <v>3521</v>
      </c>
      <c r="D16" s="741" t="s">
        <v>3548</v>
      </c>
      <c r="E16" s="741" t="s">
        <v>3549</v>
      </c>
      <c r="F16" s="742">
        <v>4</v>
      </c>
      <c r="G16" s="742">
        <v>0</v>
      </c>
      <c r="H16" s="1260" t="s">
        <v>3545</v>
      </c>
      <c r="I16" s="1261"/>
      <c r="J16" s="743" t="s">
        <v>3550</v>
      </c>
      <c r="K16" s="744">
        <v>0</v>
      </c>
      <c r="L16" s="744">
        <v>8</v>
      </c>
      <c r="M16" s="734" t="s">
        <v>1410</v>
      </c>
      <c r="N16" s="745" t="s">
        <v>3548</v>
      </c>
      <c r="O16" s="745" t="s">
        <v>3549</v>
      </c>
      <c r="P16" s="750" t="s">
        <v>3547</v>
      </c>
      <c r="Q16" s="746">
        <v>2019</v>
      </c>
      <c r="R16" s="748"/>
      <c r="S16" s="749"/>
    </row>
    <row r="17" spans="1:19" ht="93">
      <c r="A17" s="741">
        <v>9</v>
      </c>
      <c r="B17" s="736">
        <v>9789</v>
      </c>
      <c r="C17" s="742" t="s">
        <v>3521</v>
      </c>
      <c r="D17" s="741" t="s">
        <v>3551</v>
      </c>
      <c r="E17" s="741" t="s">
        <v>3552</v>
      </c>
      <c r="F17" s="742">
        <v>4</v>
      </c>
      <c r="G17" s="742">
        <v>0</v>
      </c>
      <c r="H17" s="1260" t="s">
        <v>3553</v>
      </c>
      <c r="I17" s="1261"/>
      <c r="J17" s="743" t="s">
        <v>3525</v>
      </c>
      <c r="K17" s="744">
        <v>1</v>
      </c>
      <c r="L17" s="744">
        <v>3</v>
      </c>
      <c r="M17" s="734" t="s">
        <v>1410</v>
      </c>
      <c r="N17" s="745" t="s">
        <v>3551</v>
      </c>
      <c r="O17" s="745" t="s">
        <v>3552</v>
      </c>
      <c r="P17" s="737" t="s">
        <v>3526</v>
      </c>
      <c r="Q17" s="746">
        <v>2019</v>
      </c>
      <c r="R17" s="748"/>
      <c r="S17" s="749"/>
    </row>
    <row r="18" spans="1:19" ht="93">
      <c r="A18" s="741">
        <v>10</v>
      </c>
      <c r="B18" s="736">
        <v>9789</v>
      </c>
      <c r="C18" s="742" t="s">
        <v>3521</v>
      </c>
      <c r="D18" s="741" t="s">
        <v>3554</v>
      </c>
      <c r="E18" s="741" t="s">
        <v>3555</v>
      </c>
      <c r="F18" s="742">
        <v>5</v>
      </c>
      <c r="G18" s="742">
        <v>0</v>
      </c>
      <c r="H18" s="1260" t="s">
        <v>3556</v>
      </c>
      <c r="I18" s="1261"/>
      <c r="J18" s="743" t="s">
        <v>3557</v>
      </c>
      <c r="K18" s="744">
        <v>2</v>
      </c>
      <c r="L18" s="744">
        <v>8</v>
      </c>
      <c r="M18" s="734" t="s">
        <v>1410</v>
      </c>
      <c r="N18" s="745" t="s">
        <v>3554</v>
      </c>
      <c r="O18" s="745" t="s">
        <v>3555</v>
      </c>
      <c r="P18" s="737" t="s">
        <v>3526</v>
      </c>
      <c r="Q18" s="746">
        <v>2019</v>
      </c>
      <c r="R18" s="748"/>
      <c r="S18" s="749"/>
    </row>
    <row r="19" spans="1:19" ht="45">
      <c r="A19" s="745">
        <v>11</v>
      </c>
      <c r="B19" s="736">
        <v>9789</v>
      </c>
      <c r="C19" s="744" t="s">
        <v>3521</v>
      </c>
      <c r="D19" s="745" t="s">
        <v>3558</v>
      </c>
      <c r="E19" s="745" t="s">
        <v>3559</v>
      </c>
      <c r="F19" s="744">
        <v>3</v>
      </c>
      <c r="G19" s="744">
        <v>0</v>
      </c>
      <c r="H19" s="1307" t="s">
        <v>3533</v>
      </c>
      <c r="I19" s="1308"/>
      <c r="J19" s="743" t="s">
        <v>3525</v>
      </c>
      <c r="K19" s="744">
        <v>0</v>
      </c>
      <c r="L19" s="744">
        <v>7</v>
      </c>
      <c r="M19" s="734" t="s">
        <v>1410</v>
      </c>
      <c r="N19" s="745" t="s">
        <v>3558</v>
      </c>
      <c r="O19" s="745" t="s">
        <v>3559</v>
      </c>
      <c r="P19" s="751" t="s">
        <v>3547</v>
      </c>
      <c r="Q19" s="746">
        <v>2019</v>
      </c>
      <c r="R19" s="748"/>
      <c r="S19" s="749"/>
    </row>
    <row r="20" spans="1:19" ht="93">
      <c r="A20" s="745">
        <v>12</v>
      </c>
      <c r="B20" s="736">
        <v>9789</v>
      </c>
      <c r="C20" s="744" t="s">
        <v>3521</v>
      </c>
      <c r="D20" s="745" t="s">
        <v>3560</v>
      </c>
      <c r="E20" s="745" t="s">
        <v>3561</v>
      </c>
      <c r="F20" s="744">
        <v>12</v>
      </c>
      <c r="G20" s="744">
        <v>0</v>
      </c>
      <c r="H20" s="1307" t="s">
        <v>3562</v>
      </c>
      <c r="I20" s="1308"/>
      <c r="J20" s="743" t="s">
        <v>3525</v>
      </c>
      <c r="K20" s="744">
        <v>1</v>
      </c>
      <c r="L20" s="744">
        <v>23</v>
      </c>
      <c r="M20" s="734" t="s">
        <v>1410</v>
      </c>
      <c r="N20" s="745" t="s">
        <v>3560</v>
      </c>
      <c r="O20" s="745" t="s">
        <v>3561</v>
      </c>
      <c r="P20" s="737" t="s">
        <v>3526</v>
      </c>
      <c r="Q20" s="746">
        <v>2019</v>
      </c>
      <c r="R20" s="748"/>
      <c r="S20" s="749"/>
    </row>
    <row r="21" spans="1:19" ht="93">
      <c r="A21" s="741">
        <v>13</v>
      </c>
      <c r="B21" s="736">
        <v>9789</v>
      </c>
      <c r="C21" s="742" t="s">
        <v>3521</v>
      </c>
      <c r="D21" s="742" t="s">
        <v>3563</v>
      </c>
      <c r="E21" s="742" t="s">
        <v>3564</v>
      </c>
      <c r="F21" s="742">
        <v>4</v>
      </c>
      <c r="G21" s="742">
        <v>0</v>
      </c>
      <c r="H21" s="1260" t="s">
        <v>3565</v>
      </c>
      <c r="I21" s="1261"/>
      <c r="J21" s="743" t="s">
        <v>3546</v>
      </c>
      <c r="K21" s="744">
        <v>0</v>
      </c>
      <c r="L21" s="744">
        <v>11</v>
      </c>
      <c r="M21" s="734" t="s">
        <v>1410</v>
      </c>
      <c r="N21" s="744" t="s">
        <v>3563</v>
      </c>
      <c r="O21" s="744" t="s">
        <v>3564</v>
      </c>
      <c r="P21" s="737" t="s">
        <v>3526</v>
      </c>
      <c r="Q21" s="746">
        <v>2019</v>
      </c>
      <c r="R21" s="748"/>
      <c r="S21" s="749"/>
    </row>
    <row r="22" spans="1:19" ht="93">
      <c r="A22" s="745">
        <v>14</v>
      </c>
      <c r="B22" s="736">
        <v>9789</v>
      </c>
      <c r="C22" s="744" t="s">
        <v>3521</v>
      </c>
      <c r="D22" s="744" t="s">
        <v>3566</v>
      </c>
      <c r="E22" s="744" t="s">
        <v>3567</v>
      </c>
      <c r="F22" s="744">
        <v>4</v>
      </c>
      <c r="G22" s="744">
        <v>0</v>
      </c>
      <c r="H22" s="1307" t="s">
        <v>3568</v>
      </c>
      <c r="I22" s="1308"/>
      <c r="J22" s="743" t="s">
        <v>3546</v>
      </c>
      <c r="K22" s="744">
        <v>0</v>
      </c>
      <c r="L22" s="744">
        <v>11</v>
      </c>
      <c r="M22" s="734" t="s">
        <v>1410</v>
      </c>
      <c r="N22" s="744" t="s">
        <v>3566</v>
      </c>
      <c r="O22" s="744" t="s">
        <v>3567</v>
      </c>
      <c r="P22" s="737" t="s">
        <v>3526</v>
      </c>
      <c r="Q22" s="746">
        <v>2019</v>
      </c>
      <c r="R22" s="748"/>
      <c r="S22" s="749"/>
    </row>
    <row r="23" spans="1:19" ht="93">
      <c r="A23" s="745">
        <v>15</v>
      </c>
      <c r="B23" s="745">
        <v>89804</v>
      </c>
      <c r="C23" s="744" t="s">
        <v>3569</v>
      </c>
      <c r="D23" s="744" t="s">
        <v>3570</v>
      </c>
      <c r="E23" s="744" t="s">
        <v>3571</v>
      </c>
      <c r="F23" s="744">
        <v>3</v>
      </c>
      <c r="G23" s="744">
        <v>0</v>
      </c>
      <c r="H23" s="1307" t="s">
        <v>3533</v>
      </c>
      <c r="I23" s="1308"/>
      <c r="J23" s="743" t="s">
        <v>3572</v>
      </c>
      <c r="K23" s="744">
        <v>0</v>
      </c>
      <c r="L23" s="744">
        <v>7</v>
      </c>
      <c r="M23" s="734" t="s">
        <v>1410</v>
      </c>
      <c r="N23" s="744" t="s">
        <v>3570</v>
      </c>
      <c r="O23" s="744" t="s">
        <v>3571</v>
      </c>
      <c r="P23" s="737" t="s">
        <v>3526</v>
      </c>
      <c r="Q23" s="746">
        <v>2019</v>
      </c>
      <c r="R23" s="748"/>
      <c r="S23" s="749"/>
    </row>
    <row r="24" spans="1:19" ht="93">
      <c r="A24" s="741">
        <v>16</v>
      </c>
      <c r="B24" s="745">
        <v>89804</v>
      </c>
      <c r="C24" s="742" t="s">
        <v>3569</v>
      </c>
      <c r="D24" s="742" t="s">
        <v>3573</v>
      </c>
      <c r="E24" s="742" t="s">
        <v>3574</v>
      </c>
      <c r="F24" s="742">
        <v>4</v>
      </c>
      <c r="G24" s="742">
        <v>0</v>
      </c>
      <c r="H24" s="1260" t="s">
        <v>3575</v>
      </c>
      <c r="I24" s="1261"/>
      <c r="J24" s="743" t="s">
        <v>3576</v>
      </c>
      <c r="K24" s="744">
        <v>0</v>
      </c>
      <c r="L24" s="744">
        <v>4</v>
      </c>
      <c r="M24" s="734" t="s">
        <v>1410</v>
      </c>
      <c r="N24" s="744" t="s">
        <v>3573</v>
      </c>
      <c r="O24" s="744" t="s">
        <v>3574</v>
      </c>
      <c r="P24" s="737" t="s">
        <v>3526</v>
      </c>
      <c r="Q24" s="746">
        <v>2019</v>
      </c>
      <c r="R24" s="748"/>
      <c r="S24" s="749"/>
    </row>
    <row r="25" spans="1:19" ht="135">
      <c r="A25" s="745">
        <v>17</v>
      </c>
      <c r="B25" s="745">
        <v>89804</v>
      </c>
      <c r="C25" s="744" t="s">
        <v>3569</v>
      </c>
      <c r="D25" s="744" t="s">
        <v>3577</v>
      </c>
      <c r="E25" s="744" t="s">
        <v>3578</v>
      </c>
      <c r="F25" s="744">
        <v>3</v>
      </c>
      <c r="G25" s="744">
        <v>1</v>
      </c>
      <c r="H25" s="1307" t="s">
        <v>3533</v>
      </c>
      <c r="I25" s="1308"/>
      <c r="J25" s="743" t="s">
        <v>3579</v>
      </c>
      <c r="K25" s="744">
        <v>2</v>
      </c>
      <c r="L25" s="744">
        <v>5</v>
      </c>
      <c r="M25" s="752" t="s">
        <v>3580</v>
      </c>
      <c r="N25" s="744" t="s">
        <v>3577</v>
      </c>
      <c r="O25" s="744" t="s">
        <v>3578</v>
      </c>
      <c r="P25" s="753" t="s">
        <v>3581</v>
      </c>
      <c r="Q25" s="746">
        <v>2019</v>
      </c>
      <c r="R25" s="748"/>
      <c r="S25" s="749"/>
    </row>
    <row r="26" spans="1:19" ht="132.75" customHeight="1">
      <c r="A26" s="754"/>
      <c r="B26" s="754"/>
      <c r="C26" s="754"/>
      <c r="D26" s="754"/>
      <c r="E26" s="754"/>
      <c r="F26" s="755">
        <f>SUM(F9:F25)</f>
        <v>77</v>
      </c>
      <c r="G26" s="755">
        <f>SUM(G9:G25)</f>
        <v>1</v>
      </c>
      <c r="H26" s="755"/>
      <c r="I26" s="755"/>
      <c r="J26" s="755"/>
      <c r="K26" s="755">
        <f>SUM(K9:K25)</f>
        <v>17</v>
      </c>
      <c r="L26" s="755">
        <f>SUM(L9:L25)</f>
        <v>140</v>
      </c>
      <c r="M26" s="755"/>
      <c r="N26" s="755"/>
      <c r="O26" s="755"/>
      <c r="P26" s="755"/>
      <c r="Q26" s="755"/>
      <c r="R26" s="755"/>
      <c r="S26" s="755"/>
    </row>
    <row r="27" spans="1:19" ht="128.25" customHeight="1">
      <c r="A27" s="1439" t="s">
        <v>1279</v>
      </c>
      <c r="B27" s="1440"/>
      <c r="C27" s="1440"/>
      <c r="D27" s="1440"/>
      <c r="E27" s="1440"/>
      <c r="F27" s="1440"/>
      <c r="G27" s="1440"/>
      <c r="H27" s="1440"/>
      <c r="I27" s="1440"/>
      <c r="J27" s="1440"/>
      <c r="K27" s="1440"/>
      <c r="L27" s="1440"/>
      <c r="M27" s="1440"/>
      <c r="N27" s="1440"/>
      <c r="O27" s="1440"/>
      <c r="P27" s="1440"/>
      <c r="Q27" s="1440"/>
      <c r="R27" s="1440"/>
      <c r="S27" s="1441"/>
    </row>
    <row r="28" spans="1:19" ht="123.75">
      <c r="A28" s="756">
        <v>1</v>
      </c>
      <c r="B28" s="756">
        <v>805514</v>
      </c>
      <c r="C28" s="731" t="s">
        <v>3582</v>
      </c>
      <c r="D28" s="731" t="s">
        <v>1295</v>
      </c>
      <c r="E28" s="731" t="s">
        <v>541</v>
      </c>
      <c r="F28" s="731">
        <v>3</v>
      </c>
      <c r="G28" s="731">
        <v>2</v>
      </c>
      <c r="H28" s="1301" t="s">
        <v>3583</v>
      </c>
      <c r="I28" s="1302"/>
      <c r="J28" s="733" t="s">
        <v>3584</v>
      </c>
      <c r="K28" s="731">
        <v>1</v>
      </c>
      <c r="L28" s="731">
        <v>6</v>
      </c>
      <c r="M28" s="731" t="s">
        <v>3585</v>
      </c>
      <c r="N28" s="731" t="s">
        <v>510</v>
      </c>
      <c r="O28" s="731" t="s">
        <v>624</v>
      </c>
      <c r="P28" s="733" t="s">
        <v>3586</v>
      </c>
      <c r="Q28" s="734" t="s">
        <v>3587</v>
      </c>
      <c r="R28" s="739">
        <v>350</v>
      </c>
      <c r="S28" s="731" t="s">
        <v>3588</v>
      </c>
    </row>
    <row r="29" spans="1:19" ht="123.75">
      <c r="A29" s="756">
        <v>2</v>
      </c>
      <c r="B29" s="756">
        <v>805463</v>
      </c>
      <c r="C29" s="731" t="s">
        <v>3589</v>
      </c>
      <c r="D29" s="731" t="s">
        <v>60</v>
      </c>
      <c r="E29" s="731" t="s">
        <v>2584</v>
      </c>
      <c r="F29" s="731">
        <v>3</v>
      </c>
      <c r="G29" s="731">
        <v>0</v>
      </c>
      <c r="H29" s="1301" t="s">
        <v>3583</v>
      </c>
      <c r="I29" s="1302"/>
      <c r="J29" s="733" t="s">
        <v>3584</v>
      </c>
      <c r="K29" s="731">
        <v>0</v>
      </c>
      <c r="L29" s="731">
        <v>4</v>
      </c>
      <c r="M29" s="734" t="s">
        <v>1410</v>
      </c>
      <c r="N29" s="731" t="s">
        <v>60</v>
      </c>
      <c r="O29" s="731" t="s">
        <v>3590</v>
      </c>
      <c r="P29" s="733" t="s">
        <v>3591</v>
      </c>
      <c r="Q29" s="734">
        <v>2020</v>
      </c>
      <c r="R29" s="739">
        <v>200</v>
      </c>
      <c r="S29" s="731" t="s">
        <v>3592</v>
      </c>
    </row>
    <row r="30" spans="1:19" ht="123.75">
      <c r="A30" s="756">
        <v>3</v>
      </c>
      <c r="B30" s="876">
        <v>805807</v>
      </c>
      <c r="C30" s="878" t="s">
        <v>3593</v>
      </c>
      <c r="D30" s="731" t="s">
        <v>3594</v>
      </c>
      <c r="E30" s="731" t="s">
        <v>3595</v>
      </c>
      <c r="F30" s="731">
        <v>3</v>
      </c>
      <c r="G30" s="731">
        <v>1</v>
      </c>
      <c r="H30" s="1301" t="s">
        <v>3583</v>
      </c>
      <c r="I30" s="1302"/>
      <c r="J30" s="733" t="s">
        <v>3584</v>
      </c>
      <c r="K30" s="731">
        <v>0</v>
      </c>
      <c r="L30" s="731">
        <v>5</v>
      </c>
      <c r="M30" s="734" t="s">
        <v>3596</v>
      </c>
      <c r="N30" s="731" t="s">
        <v>3597</v>
      </c>
      <c r="O30" s="731" t="s">
        <v>3598</v>
      </c>
      <c r="P30" s="733" t="s">
        <v>3599</v>
      </c>
      <c r="Q30" s="734" t="s">
        <v>3587</v>
      </c>
      <c r="R30" s="739">
        <v>50</v>
      </c>
      <c r="S30" s="731" t="s">
        <v>3588</v>
      </c>
    </row>
    <row r="31" spans="1:19" ht="123.75">
      <c r="A31" s="756">
        <v>4</v>
      </c>
      <c r="B31" s="877"/>
      <c r="C31" s="879"/>
      <c r="D31" s="757" t="s">
        <v>3600</v>
      </c>
      <c r="E31" s="757" t="s">
        <v>3601</v>
      </c>
      <c r="F31" s="731">
        <v>3</v>
      </c>
      <c r="G31" s="731">
        <v>1</v>
      </c>
      <c r="H31" s="1301" t="s">
        <v>3583</v>
      </c>
      <c r="I31" s="1302"/>
      <c r="J31" s="733" t="s">
        <v>3584</v>
      </c>
      <c r="K31" s="731">
        <v>1</v>
      </c>
      <c r="L31" s="731">
        <v>2</v>
      </c>
      <c r="M31" s="734" t="s">
        <v>3596</v>
      </c>
      <c r="N31" s="757" t="s">
        <v>3602</v>
      </c>
      <c r="O31" s="757" t="s">
        <v>3603</v>
      </c>
      <c r="P31" s="733" t="s">
        <v>3604</v>
      </c>
      <c r="Q31" s="734" t="s">
        <v>3587</v>
      </c>
      <c r="R31" s="739">
        <v>50</v>
      </c>
      <c r="S31" s="731" t="s">
        <v>3588</v>
      </c>
    </row>
    <row r="32" spans="1:19" ht="123.75">
      <c r="A32" s="756">
        <v>5</v>
      </c>
      <c r="B32" s="756">
        <v>805684</v>
      </c>
      <c r="C32" s="731" t="s">
        <v>3605</v>
      </c>
      <c r="D32" s="757" t="s">
        <v>3606</v>
      </c>
      <c r="E32" s="757" t="s">
        <v>3607</v>
      </c>
      <c r="F32" s="731">
        <v>3</v>
      </c>
      <c r="G32" s="731">
        <v>1</v>
      </c>
      <c r="H32" s="1301" t="s">
        <v>3583</v>
      </c>
      <c r="I32" s="1302"/>
      <c r="J32" s="733" t="s">
        <v>3584</v>
      </c>
      <c r="K32" s="731">
        <v>1</v>
      </c>
      <c r="L32" s="731">
        <v>3</v>
      </c>
      <c r="M32" s="734" t="s">
        <v>3596</v>
      </c>
      <c r="N32" s="757" t="s">
        <v>3608</v>
      </c>
      <c r="O32" s="757" t="s">
        <v>3523</v>
      </c>
      <c r="P32" s="733" t="s">
        <v>3609</v>
      </c>
      <c r="Q32" s="734" t="s">
        <v>3610</v>
      </c>
      <c r="R32" s="739"/>
      <c r="S32" s="731" t="s">
        <v>3611</v>
      </c>
    </row>
    <row r="33" spans="1:19" ht="222.75">
      <c r="A33" s="736">
        <v>6</v>
      </c>
      <c r="B33" s="876">
        <v>805453</v>
      </c>
      <c r="C33" s="878" t="s">
        <v>3612</v>
      </c>
      <c r="D33" s="758" t="s">
        <v>107</v>
      </c>
      <c r="E33" s="758" t="s">
        <v>496</v>
      </c>
      <c r="F33" s="729">
        <v>6</v>
      </c>
      <c r="G33" s="729">
        <v>0</v>
      </c>
      <c r="H33" s="1301" t="s">
        <v>3613</v>
      </c>
      <c r="I33" s="1302"/>
      <c r="J33" s="733" t="s">
        <v>3614</v>
      </c>
      <c r="K33" s="731">
        <v>1</v>
      </c>
      <c r="L33" s="731">
        <v>6</v>
      </c>
      <c r="M33" s="734" t="s">
        <v>1410</v>
      </c>
      <c r="N33" s="731" t="s">
        <v>47</v>
      </c>
      <c r="O33" s="731" t="s">
        <v>48</v>
      </c>
      <c r="P33" s="733" t="s">
        <v>3615</v>
      </c>
      <c r="Q33" s="734" t="s">
        <v>3587</v>
      </c>
      <c r="R33" s="739">
        <v>7500</v>
      </c>
      <c r="S33" s="759" t="s">
        <v>3588</v>
      </c>
    </row>
    <row r="34" spans="1:19" ht="74.25">
      <c r="A34" s="736">
        <v>7</v>
      </c>
      <c r="B34" s="880"/>
      <c r="C34" s="881"/>
      <c r="D34" s="758" t="s">
        <v>496</v>
      </c>
      <c r="E34" s="758" t="s">
        <v>1294</v>
      </c>
      <c r="F34" s="729">
        <v>4</v>
      </c>
      <c r="G34" s="729">
        <v>0</v>
      </c>
      <c r="H34" s="1301" t="s">
        <v>3616</v>
      </c>
      <c r="I34" s="1302"/>
      <c r="J34" s="733" t="s">
        <v>3617</v>
      </c>
      <c r="K34" s="731">
        <v>0</v>
      </c>
      <c r="L34" s="731">
        <v>5</v>
      </c>
      <c r="M34" s="734" t="s">
        <v>1410</v>
      </c>
      <c r="N34" s="759" t="s">
        <v>3618</v>
      </c>
      <c r="O34" s="759" t="s">
        <v>3619</v>
      </c>
      <c r="P34" s="733" t="s">
        <v>3591</v>
      </c>
      <c r="Q34" s="734">
        <v>2020</v>
      </c>
      <c r="R34" s="739">
        <v>200</v>
      </c>
      <c r="S34" s="731" t="s">
        <v>3592</v>
      </c>
    </row>
    <row r="35" spans="1:19" ht="247.5">
      <c r="A35" s="756">
        <v>8</v>
      </c>
      <c r="B35" s="760">
        <v>805462</v>
      </c>
      <c r="C35" s="730" t="s">
        <v>1297</v>
      </c>
      <c r="D35" s="757" t="s">
        <v>3620</v>
      </c>
      <c r="E35" s="757" t="s">
        <v>489</v>
      </c>
      <c r="F35" s="731">
        <v>3</v>
      </c>
      <c r="G35" s="731">
        <v>1</v>
      </c>
      <c r="H35" s="1301" t="s">
        <v>3583</v>
      </c>
      <c r="I35" s="1302"/>
      <c r="J35" s="733" t="s">
        <v>3621</v>
      </c>
      <c r="K35" s="731">
        <v>4</v>
      </c>
      <c r="L35" s="731">
        <v>2</v>
      </c>
      <c r="M35" s="734" t="s">
        <v>3596</v>
      </c>
      <c r="N35" s="757" t="s">
        <v>3620</v>
      </c>
      <c r="O35" s="757" t="s">
        <v>489</v>
      </c>
      <c r="P35" s="733" t="s">
        <v>3604</v>
      </c>
      <c r="Q35" s="732" t="s">
        <v>3587</v>
      </c>
      <c r="R35" s="761">
        <v>50</v>
      </c>
      <c r="S35" s="731" t="s">
        <v>3588</v>
      </c>
    </row>
    <row r="36" spans="1:19" ht="148.5">
      <c r="A36" s="736">
        <v>9</v>
      </c>
      <c r="B36" s="876">
        <v>805808</v>
      </c>
      <c r="C36" s="878" t="s">
        <v>3622</v>
      </c>
      <c r="D36" s="758" t="s">
        <v>107</v>
      </c>
      <c r="E36" s="758" t="s">
        <v>496</v>
      </c>
      <c r="F36" s="729">
        <v>5</v>
      </c>
      <c r="G36" s="729">
        <v>0</v>
      </c>
      <c r="H36" s="1301" t="s">
        <v>3623</v>
      </c>
      <c r="I36" s="1302"/>
      <c r="J36" s="733" t="s">
        <v>3624</v>
      </c>
      <c r="K36" s="731">
        <v>0</v>
      </c>
      <c r="L36" s="731">
        <v>9</v>
      </c>
      <c r="M36" s="734" t="s">
        <v>1410</v>
      </c>
      <c r="N36" s="757" t="s">
        <v>107</v>
      </c>
      <c r="O36" s="757" t="s">
        <v>496</v>
      </c>
      <c r="P36" s="733" t="s">
        <v>3625</v>
      </c>
      <c r="Q36" s="732" t="s">
        <v>3610</v>
      </c>
      <c r="R36" s="761"/>
      <c r="S36" s="730" t="s">
        <v>3611</v>
      </c>
    </row>
    <row r="37" spans="1:19" ht="123.75">
      <c r="A37" s="736">
        <v>10</v>
      </c>
      <c r="B37" s="880"/>
      <c r="C37" s="881"/>
      <c r="D37" s="758" t="s">
        <v>624</v>
      </c>
      <c r="E37" s="758" t="s">
        <v>3626</v>
      </c>
      <c r="F37" s="729">
        <v>5</v>
      </c>
      <c r="G37" s="729">
        <v>1</v>
      </c>
      <c r="H37" s="1301" t="s">
        <v>3627</v>
      </c>
      <c r="I37" s="1302"/>
      <c r="J37" s="733" t="s">
        <v>3621</v>
      </c>
      <c r="K37" s="731">
        <v>1</v>
      </c>
      <c r="L37" s="731">
        <v>7</v>
      </c>
      <c r="M37" s="734" t="s">
        <v>3596</v>
      </c>
      <c r="N37" s="757" t="s">
        <v>624</v>
      </c>
      <c r="O37" s="757" t="s">
        <v>3626</v>
      </c>
      <c r="P37" s="762" t="s">
        <v>3609</v>
      </c>
      <c r="Q37" s="732" t="s">
        <v>3610</v>
      </c>
      <c r="R37" s="761"/>
      <c r="S37" s="730" t="s">
        <v>3611</v>
      </c>
    </row>
    <row r="38" spans="1:19" ht="123.75">
      <c r="A38" s="736">
        <v>11</v>
      </c>
      <c r="B38" s="880"/>
      <c r="C38" s="881"/>
      <c r="D38" s="758" t="s">
        <v>3628</v>
      </c>
      <c r="E38" s="758" t="s">
        <v>3629</v>
      </c>
      <c r="F38" s="729">
        <v>5</v>
      </c>
      <c r="G38" s="729">
        <v>1</v>
      </c>
      <c r="H38" s="1301" t="s">
        <v>3630</v>
      </c>
      <c r="I38" s="1302"/>
      <c r="J38" s="733" t="s">
        <v>3621</v>
      </c>
      <c r="K38" s="731">
        <v>1</v>
      </c>
      <c r="L38" s="731">
        <v>13</v>
      </c>
      <c r="M38" s="734" t="s">
        <v>3631</v>
      </c>
      <c r="N38" s="757" t="s">
        <v>3628</v>
      </c>
      <c r="O38" s="757" t="s">
        <v>3629</v>
      </c>
      <c r="P38" s="762" t="s">
        <v>3632</v>
      </c>
      <c r="Q38" s="732" t="s">
        <v>3610</v>
      </c>
      <c r="R38" s="761"/>
      <c r="S38" s="730" t="s">
        <v>3611</v>
      </c>
    </row>
    <row r="39" spans="1:19" ht="31.5">
      <c r="A39" s="763"/>
      <c r="B39" s="764"/>
      <c r="C39" s="765"/>
      <c r="D39" s="731"/>
      <c r="E39" s="731"/>
      <c r="F39" s="731"/>
      <c r="G39" s="731"/>
      <c r="H39" s="731"/>
      <c r="I39" s="731"/>
      <c r="J39" s="392"/>
      <c r="K39" s="731"/>
      <c r="L39" s="731"/>
      <c r="M39" s="734"/>
      <c r="N39" s="731"/>
      <c r="O39" s="731"/>
      <c r="P39" s="766"/>
      <c r="Q39" s="767"/>
      <c r="R39" s="768"/>
      <c r="S39" s="731"/>
    </row>
    <row r="40" spans="1:19" ht="27">
      <c r="A40" s="875" t="s">
        <v>1278</v>
      </c>
      <c r="B40" s="875"/>
      <c r="C40" s="875"/>
      <c r="D40" s="769"/>
      <c r="E40" s="769"/>
      <c r="F40" s="769">
        <f>SUM(F28:F38)</f>
        <v>43</v>
      </c>
      <c r="G40" s="769">
        <f>SUM(G28:G38)</f>
        <v>8</v>
      </c>
      <c r="H40" s="769"/>
      <c r="I40" s="769"/>
      <c r="J40" s="770"/>
      <c r="K40" s="769">
        <f>SUM(K28:K38)</f>
        <v>10</v>
      </c>
      <c r="L40" s="769">
        <f>SUM(L28:L38)</f>
        <v>62</v>
      </c>
      <c r="M40" s="769"/>
      <c r="N40" s="769"/>
      <c r="O40" s="769"/>
      <c r="P40" s="769"/>
      <c r="Q40" s="771"/>
      <c r="R40" s="772">
        <f>SUM(R28:R38)</f>
        <v>8400</v>
      </c>
      <c r="S40" s="769"/>
    </row>
    <row r="41" spans="1:19" ht="55.5" customHeight="1">
      <c r="A41" s="1410" t="s">
        <v>1284</v>
      </c>
      <c r="B41" s="1410"/>
      <c r="C41" s="1410"/>
      <c r="D41" s="1410"/>
      <c r="E41" s="1410"/>
      <c r="F41" s="1410"/>
      <c r="G41" s="1410"/>
      <c r="H41" s="1410"/>
      <c r="I41" s="1410"/>
      <c r="J41" s="1410"/>
      <c r="K41" s="1410"/>
      <c r="L41" s="1410"/>
      <c r="M41" s="1410"/>
      <c r="N41" s="1410"/>
      <c r="O41" s="1410"/>
      <c r="P41" s="1410"/>
      <c r="Q41" s="1410"/>
      <c r="R41" s="1410"/>
      <c r="S41" s="1410"/>
    </row>
    <row r="42" spans="1:19" ht="42.75">
      <c r="A42" s="1304" t="s">
        <v>1298</v>
      </c>
      <c r="B42" s="1304"/>
      <c r="C42" s="1304"/>
      <c r="D42" s="1304"/>
      <c r="E42" s="1304"/>
      <c r="F42" s="1304"/>
      <c r="G42" s="1304"/>
      <c r="H42" s="1304"/>
      <c r="I42" s="1304"/>
      <c r="J42" s="1304"/>
      <c r="K42" s="1304"/>
      <c r="L42" s="1304"/>
      <c r="M42" s="1304"/>
      <c r="N42" s="1304"/>
      <c r="O42" s="1304"/>
      <c r="P42" s="1304"/>
      <c r="Q42" s="1304"/>
      <c r="R42" s="1304"/>
      <c r="S42" s="1304"/>
    </row>
    <row r="43" spans="1:19" ht="87.75" customHeight="1">
      <c r="A43" s="1330">
        <v>1</v>
      </c>
      <c r="B43" s="1403">
        <v>736881</v>
      </c>
      <c r="C43" s="1403" t="s">
        <v>1307</v>
      </c>
      <c r="D43" s="1403" t="s">
        <v>1308</v>
      </c>
      <c r="E43" s="1403"/>
      <c r="F43" s="1403">
        <v>7</v>
      </c>
      <c r="G43" s="1403">
        <v>3</v>
      </c>
      <c r="H43" s="1405" t="s">
        <v>3633</v>
      </c>
      <c r="I43" s="1406"/>
      <c r="J43" s="1409" t="s">
        <v>1309</v>
      </c>
      <c r="K43" s="1403">
        <v>0</v>
      </c>
      <c r="L43" s="1403">
        <v>13</v>
      </c>
      <c r="M43" s="1403" t="s">
        <v>3634</v>
      </c>
      <c r="N43" s="1403" t="s">
        <v>1308</v>
      </c>
      <c r="O43" s="1403"/>
      <c r="P43" s="1409" t="s">
        <v>3635</v>
      </c>
      <c r="Q43" s="1438" t="s">
        <v>3587</v>
      </c>
      <c r="R43" s="1436">
        <v>30</v>
      </c>
      <c r="S43" s="1403" t="s">
        <v>3636</v>
      </c>
    </row>
    <row r="44" spans="1:19" ht="87.75" customHeight="1">
      <c r="A44" s="1332"/>
      <c r="B44" s="1403"/>
      <c r="C44" s="1403"/>
      <c r="D44" s="1403"/>
      <c r="E44" s="1403"/>
      <c r="F44" s="1403"/>
      <c r="G44" s="1403"/>
      <c r="H44" s="1407"/>
      <c r="I44" s="1408"/>
      <c r="J44" s="1409"/>
      <c r="K44" s="1403"/>
      <c r="L44" s="1403"/>
      <c r="M44" s="1403"/>
      <c r="N44" s="1403"/>
      <c r="O44" s="1403"/>
      <c r="P44" s="1409"/>
      <c r="Q44" s="1438"/>
      <c r="R44" s="1436"/>
      <c r="S44" s="1403"/>
    </row>
    <row r="45" spans="1:19" ht="87.75" customHeight="1">
      <c r="A45" s="1330">
        <v>2</v>
      </c>
      <c r="B45" s="1403">
        <v>736881</v>
      </c>
      <c r="C45" s="1403" t="s">
        <v>1307</v>
      </c>
      <c r="D45" s="1403" t="s">
        <v>1310</v>
      </c>
      <c r="E45" s="1403"/>
      <c r="F45" s="1403">
        <v>8</v>
      </c>
      <c r="G45" s="1403">
        <v>3</v>
      </c>
      <c r="H45" s="1405" t="s">
        <v>3637</v>
      </c>
      <c r="I45" s="1406"/>
      <c r="J45" s="1409" t="s">
        <v>1309</v>
      </c>
      <c r="K45" s="1403">
        <v>1</v>
      </c>
      <c r="L45" s="1403">
        <v>9</v>
      </c>
      <c r="M45" s="1403" t="s">
        <v>3634</v>
      </c>
      <c r="N45" s="1403" t="s">
        <v>1310</v>
      </c>
      <c r="O45" s="1403"/>
      <c r="P45" s="1409" t="s">
        <v>3635</v>
      </c>
      <c r="Q45" s="1438" t="s">
        <v>3587</v>
      </c>
      <c r="R45" s="1436">
        <v>30</v>
      </c>
      <c r="S45" s="1403" t="s">
        <v>3636</v>
      </c>
    </row>
    <row r="46" spans="1:19" ht="87.75" customHeight="1">
      <c r="A46" s="1332"/>
      <c r="B46" s="1403"/>
      <c r="C46" s="1403"/>
      <c r="D46" s="1403"/>
      <c r="E46" s="1403"/>
      <c r="F46" s="1403"/>
      <c r="G46" s="1403"/>
      <c r="H46" s="1407"/>
      <c r="I46" s="1408"/>
      <c r="J46" s="1409"/>
      <c r="K46" s="1403"/>
      <c r="L46" s="1403"/>
      <c r="M46" s="1403"/>
      <c r="N46" s="1403"/>
      <c r="O46" s="1403"/>
      <c r="P46" s="1409"/>
      <c r="Q46" s="1438"/>
      <c r="R46" s="1436"/>
      <c r="S46" s="1403"/>
    </row>
    <row r="47" spans="1:19" ht="87.75" customHeight="1">
      <c r="A47" s="1330">
        <v>3</v>
      </c>
      <c r="B47" s="1403">
        <v>736881</v>
      </c>
      <c r="C47" s="1403" t="s">
        <v>1307</v>
      </c>
      <c r="D47" s="1403" t="s">
        <v>1311</v>
      </c>
      <c r="E47" s="1403"/>
      <c r="F47" s="1403">
        <v>4</v>
      </c>
      <c r="G47" s="1403">
        <v>3</v>
      </c>
      <c r="H47" s="1405" t="s">
        <v>3568</v>
      </c>
      <c r="I47" s="1406"/>
      <c r="J47" s="1409" t="s">
        <v>1309</v>
      </c>
      <c r="K47" s="1403">
        <v>0</v>
      </c>
      <c r="L47" s="1403">
        <v>8</v>
      </c>
      <c r="M47" s="1403" t="s">
        <v>3634</v>
      </c>
      <c r="N47" s="1403" t="s">
        <v>1311</v>
      </c>
      <c r="O47" s="1403"/>
      <c r="P47" s="1409" t="s">
        <v>3635</v>
      </c>
      <c r="Q47" s="1435" t="s">
        <v>3587</v>
      </c>
      <c r="R47" s="1436">
        <v>30</v>
      </c>
      <c r="S47" s="1403" t="s">
        <v>3636</v>
      </c>
    </row>
    <row r="48" spans="1:19" ht="87.75" customHeight="1">
      <c r="A48" s="1332"/>
      <c r="B48" s="1403"/>
      <c r="C48" s="1403"/>
      <c r="D48" s="1403"/>
      <c r="E48" s="1403"/>
      <c r="F48" s="1403"/>
      <c r="G48" s="1403"/>
      <c r="H48" s="1407"/>
      <c r="I48" s="1408"/>
      <c r="J48" s="1409"/>
      <c r="K48" s="1403"/>
      <c r="L48" s="1403"/>
      <c r="M48" s="1403"/>
      <c r="N48" s="1403"/>
      <c r="O48" s="1403"/>
      <c r="P48" s="1409"/>
      <c r="Q48" s="1435"/>
      <c r="R48" s="1436"/>
      <c r="S48" s="1403"/>
    </row>
    <row r="49" spans="1:19" ht="198">
      <c r="A49" s="773">
        <v>4</v>
      </c>
      <c r="B49" s="773">
        <v>737976</v>
      </c>
      <c r="C49" s="773" t="s">
        <v>3638</v>
      </c>
      <c r="D49" s="773" t="s">
        <v>3639</v>
      </c>
      <c r="E49" s="773" t="s">
        <v>3639</v>
      </c>
      <c r="F49" s="773">
        <v>3</v>
      </c>
      <c r="G49" s="773">
        <v>1</v>
      </c>
      <c r="H49" s="1305" t="s">
        <v>3640</v>
      </c>
      <c r="I49" s="1306"/>
      <c r="J49" s="774" t="s">
        <v>1303</v>
      </c>
      <c r="K49" s="773">
        <v>0</v>
      </c>
      <c r="L49" s="773">
        <v>3</v>
      </c>
      <c r="M49" s="773" t="s">
        <v>3634</v>
      </c>
      <c r="N49" s="773" t="s">
        <v>3639</v>
      </c>
      <c r="O49" s="773" t="s">
        <v>3639</v>
      </c>
      <c r="P49" s="774" t="s">
        <v>3635</v>
      </c>
      <c r="Q49" s="775" t="s">
        <v>3587</v>
      </c>
      <c r="R49" s="776">
        <v>36</v>
      </c>
      <c r="S49" s="773" t="s">
        <v>3641</v>
      </c>
    </row>
    <row r="50" spans="1:19" ht="91.5" customHeight="1">
      <c r="A50" s="1330">
        <v>5</v>
      </c>
      <c r="B50" s="1403">
        <v>740213</v>
      </c>
      <c r="C50" s="1403" t="s">
        <v>3642</v>
      </c>
      <c r="D50" s="1405" t="s">
        <v>3643</v>
      </c>
      <c r="E50" s="1403" t="s">
        <v>3643</v>
      </c>
      <c r="F50" s="1403">
        <v>4</v>
      </c>
      <c r="G50" s="1403">
        <v>3</v>
      </c>
      <c r="H50" s="1405" t="s">
        <v>3568</v>
      </c>
      <c r="I50" s="1406"/>
      <c r="J50" s="1409" t="s">
        <v>1309</v>
      </c>
      <c r="K50" s="1403">
        <v>0</v>
      </c>
      <c r="L50" s="1403">
        <v>4</v>
      </c>
      <c r="M50" s="1403" t="s">
        <v>3634</v>
      </c>
      <c r="N50" s="1405" t="s">
        <v>3643</v>
      </c>
      <c r="O50" s="1403" t="s">
        <v>3643</v>
      </c>
      <c r="P50" s="1409" t="s">
        <v>3635</v>
      </c>
      <c r="Q50" s="1437">
        <v>2019</v>
      </c>
      <c r="R50" s="1436">
        <v>10</v>
      </c>
      <c r="S50" s="1403" t="s">
        <v>3636</v>
      </c>
    </row>
    <row r="51" spans="1:19" ht="91.5" customHeight="1">
      <c r="A51" s="1332"/>
      <c r="B51" s="1403"/>
      <c r="C51" s="1403"/>
      <c r="D51" s="1407"/>
      <c r="E51" s="1403"/>
      <c r="F51" s="1403"/>
      <c r="G51" s="1403"/>
      <c r="H51" s="1407"/>
      <c r="I51" s="1408"/>
      <c r="J51" s="1409"/>
      <c r="K51" s="1403"/>
      <c r="L51" s="1403"/>
      <c r="M51" s="1403"/>
      <c r="N51" s="1407"/>
      <c r="O51" s="1403"/>
      <c r="P51" s="1409"/>
      <c r="Q51" s="1438"/>
      <c r="R51" s="1436"/>
      <c r="S51" s="1403"/>
    </row>
    <row r="52" spans="1:19" ht="42.75">
      <c r="A52" s="777"/>
      <c r="B52" s="777"/>
      <c r="C52" s="777"/>
      <c r="D52" s="777"/>
      <c r="E52" s="777"/>
      <c r="F52" s="777"/>
      <c r="G52" s="777"/>
      <c r="H52" s="777"/>
      <c r="I52" s="777"/>
      <c r="J52" s="778"/>
      <c r="K52" s="777"/>
      <c r="L52" s="777"/>
      <c r="M52" s="777"/>
      <c r="N52" s="777"/>
      <c r="O52" s="777"/>
      <c r="P52" s="777"/>
      <c r="Q52" s="779"/>
      <c r="R52" s="780"/>
      <c r="S52" s="777"/>
    </row>
    <row r="53" spans="1:19" ht="31.5" customHeight="1">
      <c r="A53" s="1401" t="s">
        <v>1312</v>
      </c>
      <c r="B53" s="1401"/>
      <c r="C53" s="1401" t="s">
        <v>1312</v>
      </c>
      <c r="D53" s="781"/>
      <c r="E53" s="781"/>
      <c r="F53" s="781">
        <f>SUM(F43:F51)</f>
        <v>26</v>
      </c>
      <c r="G53" s="781">
        <f>SUM(G43:G51)</f>
        <v>13</v>
      </c>
      <c r="H53" s="781"/>
      <c r="I53" s="781"/>
      <c r="J53" s="782"/>
      <c r="K53" s="781">
        <f>SUM(K43:K51)</f>
        <v>1</v>
      </c>
      <c r="L53" s="781">
        <f>SUM(L43:L51)</f>
        <v>37</v>
      </c>
      <c r="M53" s="781"/>
      <c r="N53" s="781"/>
      <c r="O53" s="781"/>
      <c r="P53" s="781"/>
      <c r="Q53" s="783"/>
      <c r="R53" s="784">
        <f>SUM(R43:R51)</f>
        <v>136</v>
      </c>
      <c r="S53" s="781"/>
    </row>
    <row r="54" spans="1:19" ht="42.75">
      <c r="A54" s="1304" t="s">
        <v>1313</v>
      </c>
      <c r="B54" s="1304"/>
      <c r="C54" s="1304"/>
      <c r="D54" s="1304"/>
      <c r="E54" s="1304"/>
      <c r="F54" s="1304"/>
      <c r="G54" s="1304"/>
      <c r="H54" s="1304"/>
      <c r="I54" s="1304"/>
      <c r="J54" s="1304"/>
      <c r="K54" s="1304"/>
      <c r="L54" s="1304"/>
      <c r="M54" s="1304"/>
      <c r="N54" s="1304"/>
      <c r="O54" s="1304"/>
      <c r="P54" s="1304"/>
      <c r="Q54" s="785"/>
      <c r="R54" s="786"/>
      <c r="S54" s="773"/>
    </row>
    <row r="55" spans="1:19" ht="49.5">
      <c r="A55" s="1397">
        <v>1</v>
      </c>
      <c r="B55" s="1326">
        <v>737839</v>
      </c>
      <c r="C55" s="878" t="s">
        <v>3644</v>
      </c>
      <c r="D55" s="1402" t="s">
        <v>3645</v>
      </c>
      <c r="E55" s="1402" t="s">
        <v>3646</v>
      </c>
      <c r="F55" s="878">
        <v>5</v>
      </c>
      <c r="G55" s="878">
        <v>2</v>
      </c>
      <c r="H55" s="1320" t="s">
        <v>3647</v>
      </c>
      <c r="I55" s="1321"/>
      <c r="J55" s="1333" t="s">
        <v>3648</v>
      </c>
      <c r="K55" s="1346">
        <v>0</v>
      </c>
      <c r="L55" s="1346">
        <v>6</v>
      </c>
      <c r="M55" s="1346" t="s">
        <v>3649</v>
      </c>
      <c r="N55" s="1402" t="s">
        <v>3645</v>
      </c>
      <c r="O55" s="1402" t="s">
        <v>3646</v>
      </c>
      <c r="P55" s="787" t="s">
        <v>3650</v>
      </c>
      <c r="Q55" s="1417">
        <v>2020</v>
      </c>
      <c r="R55" s="788"/>
      <c r="S55" s="1346"/>
    </row>
    <row r="56" spans="1:19" ht="99">
      <c r="A56" s="1398"/>
      <c r="B56" s="1327"/>
      <c r="C56" s="881"/>
      <c r="D56" s="1402"/>
      <c r="E56" s="1402"/>
      <c r="F56" s="881"/>
      <c r="G56" s="881"/>
      <c r="H56" s="1322"/>
      <c r="I56" s="1323"/>
      <c r="J56" s="1334"/>
      <c r="K56" s="1347"/>
      <c r="L56" s="1347"/>
      <c r="M56" s="1347"/>
      <c r="N56" s="1402"/>
      <c r="O56" s="1402"/>
      <c r="P56" s="789" t="s">
        <v>3651</v>
      </c>
      <c r="Q56" s="1422"/>
      <c r="R56" s="790">
        <v>40</v>
      </c>
      <c r="S56" s="1347"/>
    </row>
    <row r="57" spans="1:19" ht="123.75">
      <c r="A57" s="1398"/>
      <c r="B57" s="1327"/>
      <c r="C57" s="881"/>
      <c r="D57" s="1402"/>
      <c r="E57" s="1402"/>
      <c r="F57" s="881"/>
      <c r="G57" s="881"/>
      <c r="H57" s="1322"/>
      <c r="I57" s="1323"/>
      <c r="J57" s="1334"/>
      <c r="K57" s="1347"/>
      <c r="L57" s="1347"/>
      <c r="M57" s="1347"/>
      <c r="N57" s="1402"/>
      <c r="O57" s="1402"/>
      <c r="P57" s="791" t="s">
        <v>3652</v>
      </c>
      <c r="Q57" s="1422"/>
      <c r="R57" s="790">
        <v>200</v>
      </c>
      <c r="S57" s="1347"/>
    </row>
    <row r="58" spans="1:19" ht="74.25">
      <c r="A58" s="1399"/>
      <c r="B58" s="1328"/>
      <c r="C58" s="879"/>
      <c r="D58" s="1402"/>
      <c r="E58" s="1402"/>
      <c r="F58" s="879"/>
      <c r="G58" s="879"/>
      <c r="H58" s="1324"/>
      <c r="I58" s="1325"/>
      <c r="J58" s="1335"/>
      <c r="K58" s="1400"/>
      <c r="L58" s="1400"/>
      <c r="M58" s="1400"/>
      <c r="N58" s="1402"/>
      <c r="O58" s="1402"/>
      <c r="P58" s="791" t="s">
        <v>3653</v>
      </c>
      <c r="Q58" s="1423"/>
      <c r="R58" s="790"/>
      <c r="S58" s="1400"/>
    </row>
    <row r="59" spans="1:19" ht="49.5">
      <c r="A59" s="1389">
        <v>2</v>
      </c>
      <c r="B59" s="1361">
        <v>749485</v>
      </c>
      <c r="C59" s="1404" t="s">
        <v>3006</v>
      </c>
      <c r="D59" s="1358" t="s">
        <v>3007</v>
      </c>
      <c r="E59" s="1358" t="s">
        <v>3008</v>
      </c>
      <c r="F59" s="1361">
        <v>4</v>
      </c>
      <c r="G59" s="1361">
        <v>2</v>
      </c>
      <c r="H59" s="1379" t="s">
        <v>3654</v>
      </c>
      <c r="I59" s="1380"/>
      <c r="J59" s="1392" t="s">
        <v>3009</v>
      </c>
      <c r="K59" s="1361">
        <v>0</v>
      </c>
      <c r="L59" s="1361">
        <v>7</v>
      </c>
      <c r="M59" s="1361" t="s">
        <v>3655</v>
      </c>
      <c r="N59" s="1358" t="s">
        <v>3007</v>
      </c>
      <c r="O59" s="1358" t="s">
        <v>3008</v>
      </c>
      <c r="P59" s="392" t="s">
        <v>3010</v>
      </c>
      <c r="Q59" s="734" t="s">
        <v>3587</v>
      </c>
      <c r="R59" s="792">
        <v>7</v>
      </c>
      <c r="S59" s="793"/>
    </row>
    <row r="60" spans="1:19" ht="24.75">
      <c r="A60" s="1390"/>
      <c r="B60" s="1361"/>
      <c r="C60" s="1404"/>
      <c r="D60" s="1359"/>
      <c r="E60" s="1359"/>
      <c r="F60" s="1361"/>
      <c r="G60" s="1361"/>
      <c r="H60" s="1381"/>
      <c r="I60" s="1382"/>
      <c r="J60" s="1392"/>
      <c r="K60" s="1361"/>
      <c r="L60" s="1361"/>
      <c r="M60" s="1361"/>
      <c r="N60" s="1359"/>
      <c r="O60" s="1359"/>
      <c r="P60" s="392" t="s">
        <v>3011</v>
      </c>
      <c r="Q60" s="734" t="s">
        <v>3587</v>
      </c>
      <c r="R60" s="792">
        <v>5</v>
      </c>
      <c r="S60" s="793"/>
    </row>
    <row r="61" spans="1:19" ht="123.75">
      <c r="A61" s="1390"/>
      <c r="B61" s="1361"/>
      <c r="C61" s="1404"/>
      <c r="D61" s="1359"/>
      <c r="E61" s="1359"/>
      <c r="F61" s="1361"/>
      <c r="G61" s="1361"/>
      <c r="H61" s="1381"/>
      <c r="I61" s="1382"/>
      <c r="J61" s="1392"/>
      <c r="K61" s="1361"/>
      <c r="L61" s="1361"/>
      <c r="M61" s="1361"/>
      <c r="N61" s="1359"/>
      <c r="O61" s="1359"/>
      <c r="P61" s="392" t="s">
        <v>3012</v>
      </c>
      <c r="Q61" s="734" t="s">
        <v>3587</v>
      </c>
      <c r="R61" s="792">
        <v>200</v>
      </c>
      <c r="S61" s="793"/>
    </row>
    <row r="62" spans="1:19" ht="49.5">
      <c r="A62" s="1391"/>
      <c r="B62" s="1361"/>
      <c r="C62" s="1404"/>
      <c r="D62" s="1360"/>
      <c r="E62" s="1360"/>
      <c r="F62" s="1361"/>
      <c r="G62" s="1361"/>
      <c r="H62" s="1383"/>
      <c r="I62" s="1384"/>
      <c r="J62" s="1392"/>
      <c r="K62" s="1361"/>
      <c r="L62" s="1361"/>
      <c r="M62" s="1361"/>
      <c r="N62" s="1360"/>
      <c r="O62" s="1360"/>
      <c r="P62" s="392" t="s">
        <v>3013</v>
      </c>
      <c r="Q62" s="734" t="s">
        <v>3587</v>
      </c>
      <c r="R62" s="792">
        <v>28</v>
      </c>
      <c r="S62" s="793"/>
    </row>
    <row r="63" spans="1:19" ht="49.5">
      <c r="A63" s="1397">
        <v>3</v>
      </c>
      <c r="B63" s="1326" t="s">
        <v>2143</v>
      </c>
      <c r="C63" s="878" t="s">
        <v>3144</v>
      </c>
      <c r="D63" s="1343" t="s">
        <v>1427</v>
      </c>
      <c r="E63" s="1343" t="s">
        <v>1423</v>
      </c>
      <c r="F63" s="878">
        <v>3</v>
      </c>
      <c r="G63" s="878">
        <v>1</v>
      </c>
      <c r="H63" s="1320" t="s">
        <v>3533</v>
      </c>
      <c r="I63" s="1321"/>
      <c r="J63" s="1333" t="s">
        <v>3656</v>
      </c>
      <c r="K63" s="878">
        <v>1</v>
      </c>
      <c r="L63" s="1346">
        <v>2</v>
      </c>
      <c r="M63" s="1346" t="s">
        <v>3657</v>
      </c>
      <c r="N63" s="1343" t="s">
        <v>1427</v>
      </c>
      <c r="O63" s="1343" t="s">
        <v>1423</v>
      </c>
      <c r="P63" s="392" t="s">
        <v>3015</v>
      </c>
      <c r="Q63" s="1417">
        <v>2020</v>
      </c>
      <c r="R63" s="790">
        <v>40</v>
      </c>
      <c r="S63" s="1346"/>
    </row>
    <row r="64" spans="1:19" ht="74.25">
      <c r="A64" s="1398"/>
      <c r="B64" s="1327"/>
      <c r="C64" s="881"/>
      <c r="D64" s="1344"/>
      <c r="E64" s="1344"/>
      <c r="F64" s="881"/>
      <c r="G64" s="881"/>
      <c r="H64" s="1322"/>
      <c r="I64" s="1323"/>
      <c r="J64" s="1334"/>
      <c r="K64" s="881"/>
      <c r="L64" s="1347"/>
      <c r="M64" s="1347"/>
      <c r="N64" s="1344"/>
      <c r="O64" s="1344"/>
      <c r="P64" s="789" t="s">
        <v>3658</v>
      </c>
      <c r="Q64" s="1422"/>
      <c r="R64" s="788"/>
      <c r="S64" s="1347"/>
    </row>
    <row r="65" spans="1:19" ht="49.5">
      <c r="A65" s="1399"/>
      <c r="B65" s="1328"/>
      <c r="C65" s="879"/>
      <c r="D65" s="1345"/>
      <c r="E65" s="1345"/>
      <c r="F65" s="879"/>
      <c r="G65" s="879"/>
      <c r="H65" s="1324"/>
      <c r="I65" s="1325"/>
      <c r="J65" s="1335"/>
      <c r="K65" s="879"/>
      <c r="L65" s="1400"/>
      <c r="M65" s="1400"/>
      <c r="N65" s="1345"/>
      <c r="O65" s="1345"/>
      <c r="P65" s="392" t="s">
        <v>3659</v>
      </c>
      <c r="Q65" s="1423"/>
      <c r="R65" s="790">
        <v>5</v>
      </c>
      <c r="S65" s="1400"/>
    </row>
    <row r="66" spans="1:19" ht="74.25">
      <c r="A66" s="1389">
        <v>4</v>
      </c>
      <c r="B66" s="1361">
        <v>738433</v>
      </c>
      <c r="C66" s="1361" t="s">
        <v>189</v>
      </c>
      <c r="D66" s="1358" t="s">
        <v>1316</v>
      </c>
      <c r="E66" s="1358" t="s">
        <v>1317</v>
      </c>
      <c r="F66" s="1393" t="s">
        <v>3660</v>
      </c>
      <c r="G66" s="1358">
        <v>2</v>
      </c>
      <c r="H66" s="1379" t="s">
        <v>3568</v>
      </c>
      <c r="I66" s="1380"/>
      <c r="J66" s="1394" t="s">
        <v>3661</v>
      </c>
      <c r="K66" s="1361">
        <v>0</v>
      </c>
      <c r="L66" s="1361">
        <v>4</v>
      </c>
      <c r="M66" s="1358" t="s">
        <v>3662</v>
      </c>
      <c r="N66" s="1358" t="s">
        <v>1316</v>
      </c>
      <c r="O66" s="1358" t="s">
        <v>1317</v>
      </c>
      <c r="P66" s="392" t="s">
        <v>1318</v>
      </c>
      <c r="Q66" s="734" t="s">
        <v>3663</v>
      </c>
      <c r="R66" s="792">
        <v>500</v>
      </c>
      <c r="S66" s="793"/>
    </row>
    <row r="67" spans="1:19" ht="49.5">
      <c r="A67" s="1390"/>
      <c r="B67" s="1361"/>
      <c r="C67" s="1361"/>
      <c r="D67" s="1359"/>
      <c r="E67" s="1359"/>
      <c r="F67" s="1393"/>
      <c r="G67" s="1359"/>
      <c r="H67" s="1381"/>
      <c r="I67" s="1382"/>
      <c r="J67" s="1395"/>
      <c r="K67" s="1361"/>
      <c r="L67" s="1361"/>
      <c r="M67" s="1359"/>
      <c r="N67" s="1359"/>
      <c r="O67" s="1359"/>
      <c r="P67" s="392" t="s">
        <v>3022</v>
      </c>
      <c r="Q67" s="734" t="s">
        <v>3587</v>
      </c>
      <c r="R67" s="792">
        <v>50</v>
      </c>
      <c r="S67" s="793"/>
    </row>
    <row r="68" spans="1:19" ht="74.25">
      <c r="A68" s="1390"/>
      <c r="B68" s="1361"/>
      <c r="C68" s="1361"/>
      <c r="D68" s="1359"/>
      <c r="E68" s="1359"/>
      <c r="F68" s="1393"/>
      <c r="G68" s="1359"/>
      <c r="H68" s="1381"/>
      <c r="I68" s="1382"/>
      <c r="J68" s="1395"/>
      <c r="K68" s="1361"/>
      <c r="L68" s="1361"/>
      <c r="M68" s="1359"/>
      <c r="N68" s="1359"/>
      <c r="O68" s="1359"/>
      <c r="P68" s="392" t="s">
        <v>3023</v>
      </c>
      <c r="Q68" s="734" t="s">
        <v>3664</v>
      </c>
      <c r="R68" s="792">
        <v>3500</v>
      </c>
      <c r="S68" s="793"/>
    </row>
    <row r="69" spans="1:19" ht="49.5">
      <c r="A69" s="1390"/>
      <c r="B69" s="1361"/>
      <c r="C69" s="1361"/>
      <c r="D69" s="1359"/>
      <c r="E69" s="1359"/>
      <c r="F69" s="1393"/>
      <c r="G69" s="1359"/>
      <c r="H69" s="1381"/>
      <c r="I69" s="1382"/>
      <c r="J69" s="1395"/>
      <c r="K69" s="1361"/>
      <c r="L69" s="1361"/>
      <c r="M69" s="1359"/>
      <c r="N69" s="1359"/>
      <c r="O69" s="1359"/>
      <c r="P69" s="392" t="s">
        <v>3024</v>
      </c>
      <c r="Q69" s="734" t="s">
        <v>3587</v>
      </c>
      <c r="R69" s="792">
        <v>100</v>
      </c>
      <c r="S69" s="793"/>
    </row>
    <row r="70" spans="1:19" ht="49.5">
      <c r="A70" s="1391"/>
      <c r="B70" s="1361"/>
      <c r="C70" s="1361"/>
      <c r="D70" s="1360"/>
      <c r="E70" s="1360"/>
      <c r="F70" s="1393"/>
      <c r="G70" s="1360"/>
      <c r="H70" s="1383"/>
      <c r="I70" s="1384"/>
      <c r="J70" s="1396"/>
      <c r="K70" s="1361"/>
      <c r="L70" s="1361"/>
      <c r="M70" s="1360"/>
      <c r="N70" s="1360"/>
      <c r="O70" s="1360"/>
      <c r="P70" s="392" t="s">
        <v>3025</v>
      </c>
      <c r="Q70" s="734" t="s">
        <v>3587</v>
      </c>
      <c r="R70" s="792">
        <v>200</v>
      </c>
      <c r="S70" s="793"/>
    </row>
    <row r="71" spans="1:19" ht="49.5">
      <c r="A71" s="1389">
        <v>5</v>
      </c>
      <c r="B71" s="1361">
        <v>738457</v>
      </c>
      <c r="C71" s="1361" t="s">
        <v>1319</v>
      </c>
      <c r="D71" s="1358" t="s">
        <v>1320</v>
      </c>
      <c r="E71" s="1358" t="s">
        <v>3665</v>
      </c>
      <c r="F71" s="1361">
        <v>6</v>
      </c>
      <c r="G71" s="1358">
        <v>4</v>
      </c>
      <c r="H71" s="1379" t="s">
        <v>3666</v>
      </c>
      <c r="I71" s="1380"/>
      <c r="J71" s="1394" t="s">
        <v>3667</v>
      </c>
      <c r="K71" s="1361">
        <v>0</v>
      </c>
      <c r="L71" s="1361">
        <v>6</v>
      </c>
      <c r="M71" s="1432" t="s">
        <v>3668</v>
      </c>
      <c r="N71" s="1358" t="s">
        <v>1320</v>
      </c>
      <c r="O71" s="1358" t="s">
        <v>3665</v>
      </c>
      <c r="P71" s="392" t="s">
        <v>3026</v>
      </c>
      <c r="Q71" s="734" t="s">
        <v>3587</v>
      </c>
      <c r="R71" s="792">
        <v>100</v>
      </c>
      <c r="S71" s="793"/>
    </row>
    <row r="72" spans="1:19" ht="74.25">
      <c r="A72" s="1390"/>
      <c r="B72" s="1361"/>
      <c r="C72" s="1361"/>
      <c r="D72" s="1359"/>
      <c r="E72" s="1359"/>
      <c r="F72" s="1361"/>
      <c r="G72" s="1359"/>
      <c r="H72" s="1381"/>
      <c r="I72" s="1382"/>
      <c r="J72" s="1395"/>
      <c r="K72" s="1361"/>
      <c r="L72" s="1361"/>
      <c r="M72" s="1433"/>
      <c r="N72" s="1359"/>
      <c r="O72" s="1359"/>
      <c r="P72" s="392" t="s">
        <v>3027</v>
      </c>
      <c r="Q72" s="734" t="s">
        <v>3587</v>
      </c>
      <c r="R72" s="792">
        <v>10</v>
      </c>
      <c r="S72" s="793"/>
    </row>
    <row r="73" spans="1:19" ht="74.25">
      <c r="A73" s="1391"/>
      <c r="B73" s="1361"/>
      <c r="C73" s="1361"/>
      <c r="D73" s="1360"/>
      <c r="E73" s="1360"/>
      <c r="F73" s="1361"/>
      <c r="G73" s="1359"/>
      <c r="H73" s="1383"/>
      <c r="I73" s="1384"/>
      <c r="J73" s="1395"/>
      <c r="K73" s="1361"/>
      <c r="L73" s="1361"/>
      <c r="M73" s="1433"/>
      <c r="N73" s="1360"/>
      <c r="O73" s="1360"/>
      <c r="P73" s="392" t="s">
        <v>3028</v>
      </c>
      <c r="Q73" s="734" t="s">
        <v>3587</v>
      </c>
      <c r="R73" s="792">
        <v>100</v>
      </c>
      <c r="S73" s="793"/>
    </row>
    <row r="74" spans="1:19" ht="123.75">
      <c r="A74" s="1389">
        <v>6</v>
      </c>
      <c r="B74" s="1361">
        <v>740212</v>
      </c>
      <c r="C74" s="1361" t="s">
        <v>1321</v>
      </c>
      <c r="D74" s="1358" t="s">
        <v>1322</v>
      </c>
      <c r="E74" s="1358" t="s">
        <v>1323</v>
      </c>
      <c r="F74" s="1361">
        <v>5</v>
      </c>
      <c r="G74" s="1358">
        <v>3</v>
      </c>
      <c r="H74" s="1379" t="s">
        <v>3669</v>
      </c>
      <c r="I74" s="1380"/>
      <c r="J74" s="1394" t="s">
        <v>3670</v>
      </c>
      <c r="K74" s="1361">
        <v>0</v>
      </c>
      <c r="L74" s="1361">
        <v>5</v>
      </c>
      <c r="M74" s="1358" t="s">
        <v>3671</v>
      </c>
      <c r="N74" s="1358" t="s">
        <v>1322</v>
      </c>
      <c r="O74" s="1358" t="s">
        <v>1323</v>
      </c>
      <c r="P74" s="392" t="s">
        <v>3029</v>
      </c>
      <c r="Q74" s="734" t="s">
        <v>3587</v>
      </c>
      <c r="R74" s="792">
        <v>200</v>
      </c>
      <c r="S74" s="793"/>
    </row>
    <row r="75" spans="1:19" ht="24.75">
      <c r="A75" s="1390"/>
      <c r="B75" s="1361"/>
      <c r="C75" s="1361"/>
      <c r="D75" s="1359"/>
      <c r="E75" s="1359"/>
      <c r="F75" s="1361"/>
      <c r="G75" s="1359"/>
      <c r="H75" s="1381"/>
      <c r="I75" s="1382"/>
      <c r="J75" s="1395"/>
      <c r="K75" s="1361"/>
      <c r="L75" s="1361"/>
      <c r="M75" s="1359"/>
      <c r="N75" s="1359"/>
      <c r="O75" s="1359"/>
      <c r="P75" s="392" t="s">
        <v>1324</v>
      </c>
      <c r="Q75" s="734" t="s">
        <v>3663</v>
      </c>
      <c r="R75" s="792">
        <v>500</v>
      </c>
      <c r="S75" s="793"/>
    </row>
    <row r="76" spans="1:19" ht="24.75">
      <c r="A76" s="1390"/>
      <c r="B76" s="1361"/>
      <c r="C76" s="1361"/>
      <c r="D76" s="1359"/>
      <c r="E76" s="1359"/>
      <c r="F76" s="1361"/>
      <c r="G76" s="1359"/>
      <c r="H76" s="1381"/>
      <c r="I76" s="1382"/>
      <c r="J76" s="1395"/>
      <c r="K76" s="1361"/>
      <c r="L76" s="1361"/>
      <c r="M76" s="1359"/>
      <c r="N76" s="1359"/>
      <c r="O76" s="1359"/>
      <c r="P76" s="392" t="s">
        <v>3030</v>
      </c>
      <c r="Q76" s="734" t="s">
        <v>3587</v>
      </c>
      <c r="R76" s="792">
        <v>14</v>
      </c>
      <c r="S76" s="794"/>
    </row>
    <row r="77" spans="1:19" ht="49.5">
      <c r="A77" s="1390"/>
      <c r="B77" s="1361"/>
      <c r="C77" s="1361"/>
      <c r="D77" s="1359"/>
      <c r="E77" s="1359"/>
      <c r="F77" s="1361"/>
      <c r="G77" s="1359"/>
      <c r="H77" s="1381"/>
      <c r="I77" s="1382"/>
      <c r="J77" s="1395"/>
      <c r="K77" s="1361"/>
      <c r="L77" s="1361"/>
      <c r="M77" s="1359"/>
      <c r="N77" s="1359"/>
      <c r="O77" s="1359"/>
      <c r="P77" s="392" t="s">
        <v>3031</v>
      </c>
      <c r="Q77" s="734" t="s">
        <v>3587</v>
      </c>
      <c r="R77" s="792">
        <v>36</v>
      </c>
      <c r="S77" s="794"/>
    </row>
    <row r="78" spans="1:19" ht="49.5">
      <c r="A78" s="1390"/>
      <c r="B78" s="1361"/>
      <c r="C78" s="1361"/>
      <c r="D78" s="1359"/>
      <c r="E78" s="1359"/>
      <c r="F78" s="1361"/>
      <c r="G78" s="1359"/>
      <c r="H78" s="1381"/>
      <c r="I78" s="1382"/>
      <c r="J78" s="1395"/>
      <c r="K78" s="1361"/>
      <c r="L78" s="1361"/>
      <c r="M78" s="1359"/>
      <c r="N78" s="1359"/>
      <c r="O78" s="1359"/>
      <c r="P78" s="392" t="s">
        <v>3672</v>
      </c>
      <c r="Q78" s="734" t="s">
        <v>3587</v>
      </c>
      <c r="R78" s="792">
        <v>10</v>
      </c>
      <c r="S78" s="794"/>
    </row>
    <row r="79" spans="1:19" ht="49.5">
      <c r="A79" s="1391"/>
      <c r="B79" s="1361"/>
      <c r="C79" s="1361"/>
      <c r="D79" s="1360"/>
      <c r="E79" s="1360"/>
      <c r="F79" s="1361"/>
      <c r="G79" s="1360"/>
      <c r="H79" s="1383"/>
      <c r="I79" s="1384"/>
      <c r="J79" s="1396"/>
      <c r="K79" s="1361"/>
      <c r="L79" s="1361"/>
      <c r="M79" s="1360"/>
      <c r="N79" s="1360"/>
      <c r="O79" s="1360"/>
      <c r="P79" s="392" t="s">
        <v>3033</v>
      </c>
      <c r="Q79" s="734" t="s">
        <v>3587</v>
      </c>
      <c r="R79" s="792">
        <v>14</v>
      </c>
      <c r="S79" s="793"/>
    </row>
    <row r="80" spans="1:19" ht="99">
      <c r="A80" s="1389">
        <v>7</v>
      </c>
      <c r="B80" s="1361">
        <v>739690</v>
      </c>
      <c r="C80" s="1361" t="s">
        <v>1326</v>
      </c>
      <c r="D80" s="1358" t="s">
        <v>1327</v>
      </c>
      <c r="E80" s="1358" t="s">
        <v>1328</v>
      </c>
      <c r="F80" s="1361">
        <v>4</v>
      </c>
      <c r="G80" s="1358">
        <v>2</v>
      </c>
      <c r="H80" s="1379" t="s">
        <v>3545</v>
      </c>
      <c r="I80" s="1380"/>
      <c r="J80" s="1394" t="s">
        <v>1329</v>
      </c>
      <c r="K80" s="1361">
        <v>0</v>
      </c>
      <c r="L80" s="1361">
        <v>4</v>
      </c>
      <c r="M80" s="1358" t="s">
        <v>3673</v>
      </c>
      <c r="N80" s="1358" t="s">
        <v>1327</v>
      </c>
      <c r="O80" s="1358" t="s">
        <v>1328</v>
      </c>
      <c r="P80" s="392" t="s">
        <v>1330</v>
      </c>
      <c r="Q80" s="734" t="s">
        <v>3664</v>
      </c>
      <c r="R80" s="792">
        <v>200</v>
      </c>
      <c r="S80" s="794"/>
    </row>
    <row r="81" spans="1:19" ht="49.5">
      <c r="A81" s="1390"/>
      <c r="B81" s="1361"/>
      <c r="C81" s="1361"/>
      <c r="D81" s="1359"/>
      <c r="E81" s="1359"/>
      <c r="F81" s="1361"/>
      <c r="G81" s="1359"/>
      <c r="H81" s="1381"/>
      <c r="I81" s="1382"/>
      <c r="J81" s="1395"/>
      <c r="K81" s="1361"/>
      <c r="L81" s="1361"/>
      <c r="M81" s="1359"/>
      <c r="N81" s="1359"/>
      <c r="O81" s="1359"/>
      <c r="P81" s="392" t="s">
        <v>3674</v>
      </c>
      <c r="Q81" s="734" t="s">
        <v>3587</v>
      </c>
      <c r="R81" s="792">
        <v>5</v>
      </c>
      <c r="S81" s="793"/>
    </row>
    <row r="82" spans="1:19" ht="49.5">
      <c r="A82" s="1390"/>
      <c r="B82" s="1361"/>
      <c r="C82" s="1361"/>
      <c r="D82" s="1359"/>
      <c r="E82" s="1359"/>
      <c r="F82" s="1361"/>
      <c r="G82" s="1359"/>
      <c r="H82" s="1381"/>
      <c r="I82" s="1382"/>
      <c r="J82" s="1395"/>
      <c r="K82" s="1361"/>
      <c r="L82" s="1361"/>
      <c r="M82" s="1359"/>
      <c r="N82" s="1359"/>
      <c r="O82" s="1359"/>
      <c r="P82" s="392" t="s">
        <v>3039</v>
      </c>
      <c r="Q82" s="734" t="s">
        <v>3587</v>
      </c>
      <c r="R82" s="792">
        <v>36</v>
      </c>
      <c r="S82" s="793"/>
    </row>
    <row r="83" spans="1:19" ht="74.25">
      <c r="A83" s="1390"/>
      <c r="B83" s="1361"/>
      <c r="C83" s="1361"/>
      <c r="D83" s="1359"/>
      <c r="E83" s="1359"/>
      <c r="F83" s="1361"/>
      <c r="G83" s="1359"/>
      <c r="H83" s="1381"/>
      <c r="I83" s="1382"/>
      <c r="J83" s="1395"/>
      <c r="K83" s="1361"/>
      <c r="L83" s="1361"/>
      <c r="M83" s="1359"/>
      <c r="N83" s="1359"/>
      <c r="O83" s="1359"/>
      <c r="P83" s="392" t="s">
        <v>3040</v>
      </c>
      <c r="Q83" s="734" t="s">
        <v>3664</v>
      </c>
      <c r="R83" s="792">
        <v>3500</v>
      </c>
      <c r="S83" s="793"/>
    </row>
    <row r="84" spans="1:19" ht="74.25">
      <c r="A84" s="1390"/>
      <c r="B84" s="1361"/>
      <c r="C84" s="1361"/>
      <c r="D84" s="1359"/>
      <c r="E84" s="1359"/>
      <c r="F84" s="1361"/>
      <c r="G84" s="1359"/>
      <c r="H84" s="1381"/>
      <c r="I84" s="1382"/>
      <c r="J84" s="1395"/>
      <c r="K84" s="1361"/>
      <c r="L84" s="1361"/>
      <c r="M84" s="1359"/>
      <c r="N84" s="1359"/>
      <c r="O84" s="1359"/>
      <c r="P84" s="392" t="s">
        <v>3041</v>
      </c>
      <c r="Q84" s="734" t="s">
        <v>3587</v>
      </c>
      <c r="R84" s="792">
        <v>14</v>
      </c>
      <c r="S84" s="793"/>
    </row>
    <row r="85" spans="1:19" ht="49.5">
      <c r="A85" s="1390"/>
      <c r="B85" s="1361"/>
      <c r="C85" s="1361"/>
      <c r="D85" s="1359"/>
      <c r="E85" s="1359"/>
      <c r="F85" s="1361"/>
      <c r="G85" s="1359"/>
      <c r="H85" s="1381"/>
      <c r="I85" s="1382"/>
      <c r="J85" s="1395"/>
      <c r="K85" s="1361"/>
      <c r="L85" s="1361"/>
      <c r="M85" s="1359"/>
      <c r="N85" s="1359"/>
      <c r="O85" s="1359"/>
      <c r="P85" s="392" t="s">
        <v>3042</v>
      </c>
      <c r="Q85" s="734" t="s">
        <v>3587</v>
      </c>
      <c r="R85" s="792">
        <v>100</v>
      </c>
      <c r="S85" s="793"/>
    </row>
    <row r="86" spans="1:19" ht="49.5">
      <c r="A86" s="1391"/>
      <c r="B86" s="1361"/>
      <c r="C86" s="1361"/>
      <c r="D86" s="1360"/>
      <c r="E86" s="1360"/>
      <c r="F86" s="1361"/>
      <c r="G86" s="1360"/>
      <c r="H86" s="1383"/>
      <c r="I86" s="1384"/>
      <c r="J86" s="1396"/>
      <c r="K86" s="1361"/>
      <c r="L86" s="1361"/>
      <c r="M86" s="1360"/>
      <c r="N86" s="1360"/>
      <c r="O86" s="1360"/>
      <c r="P86" s="392" t="s">
        <v>3043</v>
      </c>
      <c r="Q86" s="734" t="s">
        <v>3587</v>
      </c>
      <c r="R86" s="792">
        <v>5</v>
      </c>
      <c r="S86" s="793"/>
    </row>
    <row r="87" spans="1:19" ht="74.25">
      <c r="A87" s="1389">
        <v>8</v>
      </c>
      <c r="B87" s="1361">
        <v>738433</v>
      </c>
      <c r="C87" s="1361" t="s">
        <v>189</v>
      </c>
      <c r="D87" s="1361" t="s">
        <v>1331</v>
      </c>
      <c r="E87" s="1361" t="s">
        <v>1332</v>
      </c>
      <c r="F87" s="1361">
        <v>4</v>
      </c>
      <c r="G87" s="1358">
        <v>2</v>
      </c>
      <c r="H87" s="1379" t="s">
        <v>3675</v>
      </c>
      <c r="I87" s="1380"/>
      <c r="J87" s="1394" t="s">
        <v>1333</v>
      </c>
      <c r="K87" s="1361">
        <v>0</v>
      </c>
      <c r="L87" s="1361">
        <v>6</v>
      </c>
      <c r="M87" s="1358" t="s">
        <v>3676</v>
      </c>
      <c r="N87" s="1388" t="s">
        <v>1331</v>
      </c>
      <c r="O87" s="1388" t="s">
        <v>1332</v>
      </c>
      <c r="P87" s="392" t="s">
        <v>1315</v>
      </c>
      <c r="Q87" s="734" t="s">
        <v>3677</v>
      </c>
      <c r="R87" s="792">
        <v>7000</v>
      </c>
      <c r="S87" s="793"/>
    </row>
    <row r="88" spans="1:19" ht="74.25">
      <c r="A88" s="1390"/>
      <c r="B88" s="1361"/>
      <c r="C88" s="1361"/>
      <c r="D88" s="1361"/>
      <c r="E88" s="1361"/>
      <c r="F88" s="1361"/>
      <c r="G88" s="1359"/>
      <c r="H88" s="1381"/>
      <c r="I88" s="1382"/>
      <c r="J88" s="1395"/>
      <c r="K88" s="1361"/>
      <c r="L88" s="1361"/>
      <c r="M88" s="1359"/>
      <c r="N88" s="1388"/>
      <c r="O88" s="1388"/>
      <c r="P88" s="392" t="s">
        <v>3044</v>
      </c>
      <c r="Q88" s="734" t="s">
        <v>3587</v>
      </c>
      <c r="R88" s="792">
        <v>100</v>
      </c>
      <c r="S88" s="793"/>
    </row>
    <row r="89" spans="1:19" ht="74.25">
      <c r="A89" s="1390"/>
      <c r="B89" s="1361"/>
      <c r="C89" s="1361"/>
      <c r="D89" s="1361"/>
      <c r="E89" s="1361"/>
      <c r="F89" s="1361"/>
      <c r="G89" s="1359"/>
      <c r="H89" s="1381"/>
      <c r="I89" s="1382"/>
      <c r="J89" s="1395"/>
      <c r="K89" s="1361"/>
      <c r="L89" s="1361"/>
      <c r="M89" s="1359"/>
      <c r="N89" s="1388"/>
      <c r="O89" s="1388"/>
      <c r="P89" s="392" t="s">
        <v>3045</v>
      </c>
      <c r="Q89" s="734" t="s">
        <v>3587</v>
      </c>
      <c r="R89" s="792">
        <v>5</v>
      </c>
      <c r="S89" s="794"/>
    </row>
    <row r="90" spans="1:19" ht="49.5">
      <c r="A90" s="1390"/>
      <c r="B90" s="1361"/>
      <c r="C90" s="1361"/>
      <c r="D90" s="1361"/>
      <c r="E90" s="1361"/>
      <c r="F90" s="1361"/>
      <c r="G90" s="1359"/>
      <c r="H90" s="1381"/>
      <c r="I90" s="1382"/>
      <c r="J90" s="1395"/>
      <c r="K90" s="1361"/>
      <c r="L90" s="1361"/>
      <c r="M90" s="1359"/>
      <c r="N90" s="1388"/>
      <c r="O90" s="1388"/>
      <c r="P90" s="392" t="s">
        <v>3678</v>
      </c>
      <c r="Q90" s="734" t="s">
        <v>3587</v>
      </c>
      <c r="R90" s="792">
        <v>10</v>
      </c>
      <c r="S90" s="793"/>
    </row>
    <row r="91" spans="1:19" ht="74.25">
      <c r="A91" s="1391"/>
      <c r="B91" s="1361"/>
      <c r="C91" s="1361"/>
      <c r="D91" s="1361"/>
      <c r="E91" s="1361"/>
      <c r="F91" s="1361"/>
      <c r="G91" s="1360"/>
      <c r="H91" s="1383"/>
      <c r="I91" s="1384"/>
      <c r="J91" s="1396"/>
      <c r="K91" s="1361"/>
      <c r="L91" s="1361"/>
      <c r="M91" s="1360"/>
      <c r="N91" s="1388"/>
      <c r="O91" s="1388"/>
      <c r="P91" s="392" t="s">
        <v>3047</v>
      </c>
      <c r="Q91" s="734" t="s">
        <v>3664</v>
      </c>
      <c r="R91" s="792">
        <v>500</v>
      </c>
      <c r="S91" s="793"/>
    </row>
    <row r="92" spans="1:19" ht="74.25">
      <c r="A92" s="1389">
        <v>9</v>
      </c>
      <c r="B92" s="1361">
        <v>739026</v>
      </c>
      <c r="C92" s="1361" t="s">
        <v>1334</v>
      </c>
      <c r="D92" s="1358" t="s">
        <v>1335</v>
      </c>
      <c r="E92" s="1358" t="s">
        <v>1336</v>
      </c>
      <c r="F92" s="1361">
        <v>5</v>
      </c>
      <c r="G92" s="1358">
        <v>3</v>
      </c>
      <c r="H92" s="1379" t="s">
        <v>3679</v>
      </c>
      <c r="I92" s="1380"/>
      <c r="J92" s="1394" t="s">
        <v>3680</v>
      </c>
      <c r="K92" s="1361">
        <v>0</v>
      </c>
      <c r="L92" s="1361">
        <v>5</v>
      </c>
      <c r="M92" s="1432" t="s">
        <v>3681</v>
      </c>
      <c r="N92" s="1358" t="s">
        <v>1335</v>
      </c>
      <c r="O92" s="1358" t="s">
        <v>1336</v>
      </c>
      <c r="P92" s="392" t="s">
        <v>3048</v>
      </c>
      <c r="Q92" s="734" t="s">
        <v>3587</v>
      </c>
      <c r="R92" s="792">
        <v>40</v>
      </c>
      <c r="S92" s="793"/>
    </row>
    <row r="93" spans="1:19" ht="99">
      <c r="A93" s="1390"/>
      <c r="B93" s="1361"/>
      <c r="C93" s="1361"/>
      <c r="D93" s="1359"/>
      <c r="E93" s="1359"/>
      <c r="F93" s="1361"/>
      <c r="G93" s="1359"/>
      <c r="H93" s="1381"/>
      <c r="I93" s="1382"/>
      <c r="J93" s="1395"/>
      <c r="K93" s="1361"/>
      <c r="L93" s="1361"/>
      <c r="M93" s="1433"/>
      <c r="N93" s="1359"/>
      <c r="O93" s="1359"/>
      <c r="P93" s="392" t="s">
        <v>3049</v>
      </c>
      <c r="Q93" s="734" t="s">
        <v>3663</v>
      </c>
      <c r="R93" s="792">
        <v>200</v>
      </c>
      <c r="S93" s="793"/>
    </row>
    <row r="94" spans="1:19" ht="99">
      <c r="A94" s="1390"/>
      <c r="B94" s="1361"/>
      <c r="C94" s="1361"/>
      <c r="D94" s="1359"/>
      <c r="E94" s="1359"/>
      <c r="F94" s="1361"/>
      <c r="G94" s="1359"/>
      <c r="H94" s="1381"/>
      <c r="I94" s="1382"/>
      <c r="J94" s="1395"/>
      <c r="K94" s="1361"/>
      <c r="L94" s="1361"/>
      <c r="M94" s="1433"/>
      <c r="N94" s="1359"/>
      <c r="O94" s="1359"/>
      <c r="P94" s="392" t="s">
        <v>3682</v>
      </c>
      <c r="Q94" s="734" t="s">
        <v>3664</v>
      </c>
      <c r="R94" s="792">
        <v>200</v>
      </c>
      <c r="S94" s="793"/>
    </row>
    <row r="95" spans="1:19" ht="99">
      <c r="A95" s="1391"/>
      <c r="B95" s="1361"/>
      <c r="C95" s="1361"/>
      <c r="D95" s="1360"/>
      <c r="E95" s="1360"/>
      <c r="F95" s="1361"/>
      <c r="G95" s="1360"/>
      <c r="H95" s="1383"/>
      <c r="I95" s="1384"/>
      <c r="J95" s="1396"/>
      <c r="K95" s="1361"/>
      <c r="L95" s="1361"/>
      <c r="M95" s="1434"/>
      <c r="N95" s="1360"/>
      <c r="O95" s="1360"/>
      <c r="P95" s="392" t="s">
        <v>3050</v>
      </c>
      <c r="Q95" s="734" t="s">
        <v>3587</v>
      </c>
      <c r="R95" s="792">
        <v>100</v>
      </c>
      <c r="S95" s="793"/>
    </row>
    <row r="96" spans="1:19" ht="49.5">
      <c r="A96" s="1389">
        <v>10</v>
      </c>
      <c r="B96" s="1361">
        <v>739026</v>
      </c>
      <c r="C96" s="1361" t="s">
        <v>1337</v>
      </c>
      <c r="D96" s="1358" t="s">
        <v>3051</v>
      </c>
      <c r="E96" s="1358" t="s">
        <v>3052</v>
      </c>
      <c r="F96" s="1361">
        <v>4</v>
      </c>
      <c r="G96" s="1358">
        <v>1</v>
      </c>
      <c r="H96" s="1379" t="s">
        <v>3683</v>
      </c>
      <c r="I96" s="1380"/>
      <c r="J96" s="1394" t="s">
        <v>3684</v>
      </c>
      <c r="K96" s="1361">
        <v>0</v>
      </c>
      <c r="L96" s="1361">
        <v>6</v>
      </c>
      <c r="M96" s="1432" t="s">
        <v>3685</v>
      </c>
      <c r="N96" s="1358" t="s">
        <v>3051</v>
      </c>
      <c r="O96" s="1358" t="s">
        <v>3052</v>
      </c>
      <c r="P96" s="392" t="s">
        <v>3686</v>
      </c>
      <c r="Q96" s="734" t="s">
        <v>3587</v>
      </c>
      <c r="R96" s="792">
        <v>15</v>
      </c>
      <c r="S96" s="793"/>
    </row>
    <row r="97" spans="1:19" ht="49.5">
      <c r="A97" s="1390"/>
      <c r="B97" s="1361"/>
      <c r="C97" s="1361"/>
      <c r="D97" s="1359"/>
      <c r="E97" s="1359"/>
      <c r="F97" s="1361"/>
      <c r="G97" s="1359"/>
      <c r="H97" s="1381"/>
      <c r="I97" s="1382"/>
      <c r="J97" s="1395"/>
      <c r="K97" s="1361"/>
      <c r="L97" s="1361"/>
      <c r="M97" s="1433"/>
      <c r="N97" s="1359"/>
      <c r="O97" s="1359"/>
      <c r="P97" s="392" t="s">
        <v>3054</v>
      </c>
      <c r="Q97" s="734" t="s">
        <v>3587</v>
      </c>
      <c r="R97" s="792">
        <v>36</v>
      </c>
      <c r="S97" s="793"/>
    </row>
    <row r="98" spans="1:19" ht="49.5">
      <c r="A98" s="1391"/>
      <c r="B98" s="1361"/>
      <c r="C98" s="1361"/>
      <c r="D98" s="1360"/>
      <c r="E98" s="1360"/>
      <c r="F98" s="1361"/>
      <c r="G98" s="1360"/>
      <c r="H98" s="1383"/>
      <c r="I98" s="1384"/>
      <c r="J98" s="1396"/>
      <c r="K98" s="1361"/>
      <c r="L98" s="1361"/>
      <c r="M98" s="1434"/>
      <c r="N98" s="1360"/>
      <c r="O98" s="1360"/>
      <c r="P98" s="392" t="s">
        <v>3017</v>
      </c>
      <c r="Q98" s="734" t="s">
        <v>3587</v>
      </c>
      <c r="R98" s="792">
        <v>14</v>
      </c>
      <c r="S98" s="793"/>
    </row>
    <row r="99" spans="1:19" ht="74.25">
      <c r="A99" s="1389">
        <v>11</v>
      </c>
      <c r="B99" s="1361">
        <v>738331</v>
      </c>
      <c r="C99" s="1361" t="s">
        <v>3055</v>
      </c>
      <c r="D99" s="1361" t="s">
        <v>1353</v>
      </c>
      <c r="E99" s="1361" t="s">
        <v>1353</v>
      </c>
      <c r="F99" s="1361">
        <v>4</v>
      </c>
      <c r="G99" s="1358">
        <v>2</v>
      </c>
      <c r="H99" s="1379" t="s">
        <v>3687</v>
      </c>
      <c r="I99" s="1380"/>
      <c r="J99" s="1394" t="s">
        <v>3688</v>
      </c>
      <c r="K99" s="1361">
        <v>1</v>
      </c>
      <c r="L99" s="1361">
        <v>3</v>
      </c>
      <c r="M99" s="1358" t="s">
        <v>3689</v>
      </c>
      <c r="N99" s="1361" t="s">
        <v>1353</v>
      </c>
      <c r="O99" s="1361" t="s">
        <v>1353</v>
      </c>
      <c r="P99" s="392" t="s">
        <v>3690</v>
      </c>
      <c r="Q99" s="734" t="s">
        <v>3587</v>
      </c>
      <c r="R99" s="792">
        <v>40</v>
      </c>
      <c r="S99" s="793"/>
    </row>
    <row r="100" spans="1:19" ht="99">
      <c r="A100" s="1391"/>
      <c r="B100" s="1361"/>
      <c r="C100" s="1361"/>
      <c r="D100" s="1361"/>
      <c r="E100" s="1361"/>
      <c r="F100" s="1361"/>
      <c r="G100" s="1360"/>
      <c r="H100" s="1383"/>
      <c r="I100" s="1384"/>
      <c r="J100" s="1396"/>
      <c r="K100" s="1361"/>
      <c r="L100" s="1361"/>
      <c r="M100" s="1360"/>
      <c r="N100" s="1361"/>
      <c r="O100" s="1361"/>
      <c r="P100" s="392" t="s">
        <v>3056</v>
      </c>
      <c r="Q100" s="734" t="s">
        <v>3587</v>
      </c>
      <c r="R100" s="792">
        <v>100</v>
      </c>
      <c r="S100" s="793"/>
    </row>
    <row r="101" spans="1:19" ht="173.25">
      <c r="A101" s="1389">
        <v>12</v>
      </c>
      <c r="B101" s="1361">
        <v>749458</v>
      </c>
      <c r="C101" s="1361" t="s">
        <v>1338</v>
      </c>
      <c r="D101" s="1361" t="s">
        <v>1339</v>
      </c>
      <c r="E101" s="1361" t="s">
        <v>1339</v>
      </c>
      <c r="F101" s="1361">
        <v>4</v>
      </c>
      <c r="G101" s="1358">
        <v>2</v>
      </c>
      <c r="H101" s="1379" t="s">
        <v>3691</v>
      </c>
      <c r="I101" s="1380"/>
      <c r="J101" s="1394" t="s">
        <v>3692</v>
      </c>
      <c r="K101" s="1361">
        <v>1</v>
      </c>
      <c r="L101" s="1361">
        <v>4</v>
      </c>
      <c r="M101" s="1358" t="s">
        <v>3693</v>
      </c>
      <c r="N101" s="1361" t="s">
        <v>1339</v>
      </c>
      <c r="O101" s="1361" t="s">
        <v>1339</v>
      </c>
      <c r="P101" s="392" t="s">
        <v>1340</v>
      </c>
      <c r="Q101" s="734" t="s">
        <v>3664</v>
      </c>
      <c r="R101" s="792">
        <v>200</v>
      </c>
      <c r="S101" s="793"/>
    </row>
    <row r="102" spans="1:19" ht="74.25">
      <c r="A102" s="1390"/>
      <c r="B102" s="1361"/>
      <c r="C102" s="1361"/>
      <c r="D102" s="1361"/>
      <c r="E102" s="1361"/>
      <c r="F102" s="1361"/>
      <c r="G102" s="1359"/>
      <c r="H102" s="1381"/>
      <c r="I102" s="1382"/>
      <c r="J102" s="1395"/>
      <c r="K102" s="1361"/>
      <c r="L102" s="1361"/>
      <c r="M102" s="1359"/>
      <c r="N102" s="1361"/>
      <c r="O102" s="1361"/>
      <c r="P102" s="392" t="s">
        <v>3057</v>
      </c>
      <c r="Q102" s="734" t="s">
        <v>3677</v>
      </c>
      <c r="R102" s="792">
        <v>7000</v>
      </c>
      <c r="S102" s="793"/>
    </row>
    <row r="103" spans="1:19" ht="99">
      <c r="A103" s="1390"/>
      <c r="B103" s="1361"/>
      <c r="C103" s="1361"/>
      <c r="D103" s="1361"/>
      <c r="E103" s="1361"/>
      <c r="F103" s="1361"/>
      <c r="G103" s="1359"/>
      <c r="H103" s="1381"/>
      <c r="I103" s="1382"/>
      <c r="J103" s="1395"/>
      <c r="K103" s="1361"/>
      <c r="L103" s="1361"/>
      <c r="M103" s="1359"/>
      <c r="N103" s="1361"/>
      <c r="O103" s="1361"/>
      <c r="P103" s="392" t="s">
        <v>3058</v>
      </c>
      <c r="Q103" s="734" t="s">
        <v>3587</v>
      </c>
      <c r="R103" s="792">
        <v>100</v>
      </c>
      <c r="S103" s="793"/>
    </row>
    <row r="104" spans="1:19" ht="49.5">
      <c r="A104" s="1390"/>
      <c r="B104" s="1361"/>
      <c r="C104" s="1361"/>
      <c r="D104" s="1361"/>
      <c r="E104" s="1361"/>
      <c r="F104" s="1361"/>
      <c r="G104" s="1359"/>
      <c r="H104" s="1381"/>
      <c r="I104" s="1382"/>
      <c r="J104" s="1395"/>
      <c r="K104" s="1361"/>
      <c r="L104" s="1361"/>
      <c r="M104" s="1359"/>
      <c r="N104" s="1361"/>
      <c r="O104" s="1361"/>
      <c r="P104" s="392" t="s">
        <v>3059</v>
      </c>
      <c r="Q104" s="734" t="s">
        <v>3587</v>
      </c>
      <c r="R104" s="792">
        <v>10</v>
      </c>
      <c r="S104" s="793"/>
    </row>
    <row r="105" spans="1:19" ht="49.5">
      <c r="A105" s="1391"/>
      <c r="B105" s="1361"/>
      <c r="C105" s="1361"/>
      <c r="D105" s="1361"/>
      <c r="E105" s="1361"/>
      <c r="F105" s="1361"/>
      <c r="G105" s="1360"/>
      <c r="H105" s="1383"/>
      <c r="I105" s="1384"/>
      <c r="J105" s="1396"/>
      <c r="K105" s="1361"/>
      <c r="L105" s="1361"/>
      <c r="M105" s="1360"/>
      <c r="N105" s="1361"/>
      <c r="O105" s="1361"/>
      <c r="P105" s="392" t="s">
        <v>3694</v>
      </c>
      <c r="Q105" s="734" t="s">
        <v>3587</v>
      </c>
      <c r="R105" s="792">
        <v>40</v>
      </c>
      <c r="S105" s="794"/>
    </row>
    <row r="106" spans="1:19" ht="24.75">
      <c r="A106" s="1389">
        <v>13</v>
      </c>
      <c r="B106" s="1361">
        <v>742735</v>
      </c>
      <c r="C106" s="1361" t="s">
        <v>1341</v>
      </c>
      <c r="D106" s="1358" t="s">
        <v>1342</v>
      </c>
      <c r="E106" s="1358" t="s">
        <v>1343</v>
      </c>
      <c r="F106" s="1361">
        <v>5</v>
      </c>
      <c r="G106" s="1358">
        <v>2</v>
      </c>
      <c r="H106" s="1379" t="s">
        <v>3647</v>
      </c>
      <c r="I106" s="1380"/>
      <c r="J106" s="1394" t="s">
        <v>3695</v>
      </c>
      <c r="K106" s="1361">
        <v>0</v>
      </c>
      <c r="L106" s="1361">
        <v>6</v>
      </c>
      <c r="M106" s="1358" t="s">
        <v>3696</v>
      </c>
      <c r="N106" s="1358" t="s">
        <v>1342</v>
      </c>
      <c r="O106" s="1358" t="s">
        <v>1343</v>
      </c>
      <c r="P106" s="392" t="s">
        <v>3060</v>
      </c>
      <c r="Q106" s="734" t="s">
        <v>3587</v>
      </c>
      <c r="R106" s="792">
        <v>100</v>
      </c>
      <c r="S106" s="793"/>
    </row>
    <row r="107" spans="1:19" ht="49.5">
      <c r="A107" s="1390"/>
      <c r="B107" s="1361"/>
      <c r="C107" s="1361"/>
      <c r="D107" s="1359"/>
      <c r="E107" s="1359"/>
      <c r="F107" s="1361"/>
      <c r="G107" s="1359"/>
      <c r="H107" s="1381"/>
      <c r="I107" s="1382"/>
      <c r="J107" s="1395"/>
      <c r="K107" s="1361"/>
      <c r="L107" s="1361"/>
      <c r="M107" s="1359"/>
      <c r="N107" s="1359"/>
      <c r="O107" s="1359"/>
      <c r="P107" s="392" t="s">
        <v>3061</v>
      </c>
      <c r="Q107" s="734" t="s">
        <v>3677</v>
      </c>
      <c r="R107" s="792">
        <v>3500</v>
      </c>
      <c r="S107" s="793"/>
    </row>
    <row r="108" spans="1:19" ht="49.5">
      <c r="A108" s="1390"/>
      <c r="B108" s="1361"/>
      <c r="C108" s="1361"/>
      <c r="D108" s="1359"/>
      <c r="E108" s="1359"/>
      <c r="F108" s="1361"/>
      <c r="G108" s="1359"/>
      <c r="H108" s="1381"/>
      <c r="I108" s="1382"/>
      <c r="J108" s="1395"/>
      <c r="K108" s="1361"/>
      <c r="L108" s="1361"/>
      <c r="M108" s="1359"/>
      <c r="N108" s="1359"/>
      <c r="O108" s="1359"/>
      <c r="P108" s="392" t="s">
        <v>3697</v>
      </c>
      <c r="Q108" s="734" t="s">
        <v>3587</v>
      </c>
      <c r="R108" s="792">
        <v>15</v>
      </c>
      <c r="S108" s="794"/>
    </row>
    <row r="109" spans="1:19" ht="74.25">
      <c r="A109" s="1390"/>
      <c r="B109" s="1361"/>
      <c r="C109" s="1361"/>
      <c r="D109" s="1359"/>
      <c r="E109" s="1359"/>
      <c r="F109" s="1361"/>
      <c r="G109" s="1359"/>
      <c r="H109" s="1381"/>
      <c r="I109" s="1382"/>
      <c r="J109" s="1395"/>
      <c r="K109" s="1361"/>
      <c r="L109" s="1361"/>
      <c r="M109" s="1359"/>
      <c r="N109" s="1359"/>
      <c r="O109" s="1359"/>
      <c r="P109" s="392" t="s">
        <v>3063</v>
      </c>
      <c r="Q109" s="734" t="s">
        <v>3587</v>
      </c>
      <c r="R109" s="792">
        <v>36</v>
      </c>
      <c r="S109" s="794"/>
    </row>
    <row r="110" spans="1:19" ht="74.25">
      <c r="A110" s="1390"/>
      <c r="B110" s="1361"/>
      <c r="C110" s="1361"/>
      <c r="D110" s="1359"/>
      <c r="E110" s="1359"/>
      <c r="F110" s="1361"/>
      <c r="G110" s="1359"/>
      <c r="H110" s="1381"/>
      <c r="I110" s="1382"/>
      <c r="J110" s="1395"/>
      <c r="K110" s="1361"/>
      <c r="L110" s="1361"/>
      <c r="M110" s="1359"/>
      <c r="N110" s="1359"/>
      <c r="O110" s="1359"/>
      <c r="P110" s="392" t="s">
        <v>3064</v>
      </c>
      <c r="Q110" s="734" t="s">
        <v>3587</v>
      </c>
      <c r="R110" s="792">
        <v>40</v>
      </c>
      <c r="S110" s="793"/>
    </row>
    <row r="111" spans="1:19" ht="173.25">
      <c r="A111" s="1391"/>
      <c r="B111" s="1361"/>
      <c r="C111" s="1361"/>
      <c r="D111" s="1360"/>
      <c r="E111" s="1360"/>
      <c r="F111" s="1361"/>
      <c r="G111" s="1360"/>
      <c r="H111" s="1383"/>
      <c r="I111" s="1384"/>
      <c r="J111" s="1396"/>
      <c r="K111" s="1361"/>
      <c r="L111" s="1361"/>
      <c r="M111" s="1360"/>
      <c r="N111" s="1360"/>
      <c r="O111" s="1360"/>
      <c r="P111" s="392" t="s">
        <v>3065</v>
      </c>
      <c r="Q111" s="734" t="s">
        <v>3664</v>
      </c>
      <c r="R111" s="792">
        <v>200</v>
      </c>
      <c r="S111" s="793"/>
    </row>
    <row r="112" spans="1:19" ht="74.25">
      <c r="A112" s="1389">
        <v>14</v>
      </c>
      <c r="B112" s="1361">
        <v>742735</v>
      </c>
      <c r="C112" s="1361" t="s">
        <v>1341</v>
      </c>
      <c r="D112" s="1358" t="s">
        <v>1345</v>
      </c>
      <c r="E112" s="1358" t="s">
        <v>1345</v>
      </c>
      <c r="F112" s="1361">
        <v>4</v>
      </c>
      <c r="G112" s="1361">
        <v>2</v>
      </c>
      <c r="H112" s="1379" t="s">
        <v>3568</v>
      </c>
      <c r="I112" s="1380"/>
      <c r="J112" s="1392" t="s">
        <v>3698</v>
      </c>
      <c r="K112" s="1361">
        <v>0</v>
      </c>
      <c r="L112" s="1361">
        <v>5</v>
      </c>
      <c r="M112" s="1361" t="s">
        <v>3699</v>
      </c>
      <c r="N112" s="1358" t="s">
        <v>1345</v>
      </c>
      <c r="O112" s="1358" t="s">
        <v>1345</v>
      </c>
      <c r="P112" s="392" t="s">
        <v>3066</v>
      </c>
      <c r="Q112" s="734" t="s">
        <v>3587</v>
      </c>
      <c r="R112" s="792">
        <v>10</v>
      </c>
      <c r="S112" s="793"/>
    </row>
    <row r="113" spans="1:19" ht="74.25">
      <c r="A113" s="1390"/>
      <c r="B113" s="1361"/>
      <c r="C113" s="1361"/>
      <c r="D113" s="1359"/>
      <c r="E113" s="1359"/>
      <c r="F113" s="1361"/>
      <c r="G113" s="1361"/>
      <c r="H113" s="1381"/>
      <c r="I113" s="1382"/>
      <c r="J113" s="1392"/>
      <c r="K113" s="1361"/>
      <c r="L113" s="1361"/>
      <c r="M113" s="1361"/>
      <c r="N113" s="1359"/>
      <c r="O113" s="1359"/>
      <c r="P113" s="392" t="s">
        <v>3067</v>
      </c>
      <c r="Q113" s="734" t="s">
        <v>3677</v>
      </c>
      <c r="R113" s="792">
        <v>7000</v>
      </c>
      <c r="S113" s="793"/>
    </row>
    <row r="114" spans="1:19" ht="74.25">
      <c r="A114" s="1390"/>
      <c r="B114" s="1361"/>
      <c r="C114" s="1361"/>
      <c r="D114" s="1359"/>
      <c r="E114" s="1359"/>
      <c r="F114" s="1361"/>
      <c r="G114" s="1361"/>
      <c r="H114" s="1381"/>
      <c r="I114" s="1382"/>
      <c r="J114" s="1392"/>
      <c r="K114" s="1361"/>
      <c r="L114" s="1361"/>
      <c r="M114" s="1361"/>
      <c r="N114" s="1359"/>
      <c r="O114" s="1359"/>
      <c r="P114" s="392" t="s">
        <v>1346</v>
      </c>
      <c r="Q114" s="734" t="s">
        <v>3587</v>
      </c>
      <c r="R114" s="792">
        <v>100</v>
      </c>
      <c r="S114" s="793"/>
    </row>
    <row r="115" spans="1:19" ht="148.5">
      <c r="A115" s="1391"/>
      <c r="B115" s="1361"/>
      <c r="C115" s="1361"/>
      <c r="D115" s="1360"/>
      <c r="E115" s="1360"/>
      <c r="F115" s="1361"/>
      <c r="G115" s="1361"/>
      <c r="H115" s="1383"/>
      <c r="I115" s="1384"/>
      <c r="J115" s="1392"/>
      <c r="K115" s="1361"/>
      <c r="L115" s="1361"/>
      <c r="M115" s="1361"/>
      <c r="N115" s="1360"/>
      <c r="O115" s="1360"/>
      <c r="P115" s="392" t="s">
        <v>3700</v>
      </c>
      <c r="Q115" s="734" t="s">
        <v>3664</v>
      </c>
      <c r="R115" s="792">
        <v>200</v>
      </c>
      <c r="S115" s="794"/>
    </row>
    <row r="116" spans="1:19" ht="67.5">
      <c r="A116" s="1453">
        <v>15</v>
      </c>
      <c r="B116" s="1277">
        <v>738457</v>
      </c>
      <c r="C116" s="1277" t="s">
        <v>1319</v>
      </c>
      <c r="D116" s="1277" t="s">
        <v>1413</v>
      </c>
      <c r="E116" s="1277" t="s">
        <v>3701</v>
      </c>
      <c r="F116" s="1277">
        <v>6</v>
      </c>
      <c r="G116" s="1277">
        <v>4</v>
      </c>
      <c r="H116" s="1280" t="s">
        <v>3702</v>
      </c>
      <c r="I116" s="1281"/>
      <c r="J116" s="1296" t="s">
        <v>3703</v>
      </c>
      <c r="K116" s="1277">
        <v>0</v>
      </c>
      <c r="L116" s="1277">
        <v>6</v>
      </c>
      <c r="M116" s="1277" t="s">
        <v>3704</v>
      </c>
      <c r="N116" s="1277" t="s">
        <v>1413</v>
      </c>
      <c r="O116" s="1277" t="s">
        <v>3701</v>
      </c>
      <c r="P116" s="795" t="s">
        <v>3705</v>
      </c>
      <c r="Q116" s="734" t="s">
        <v>3587</v>
      </c>
      <c r="R116" s="796">
        <v>0</v>
      </c>
      <c r="S116" s="797"/>
    </row>
    <row r="117" spans="1:19" ht="45">
      <c r="A117" s="1454"/>
      <c r="B117" s="1278"/>
      <c r="C117" s="1278"/>
      <c r="D117" s="1278"/>
      <c r="E117" s="1278"/>
      <c r="F117" s="1278"/>
      <c r="G117" s="1278"/>
      <c r="H117" s="1282"/>
      <c r="I117" s="1283"/>
      <c r="J117" s="1297"/>
      <c r="K117" s="1278"/>
      <c r="L117" s="1278"/>
      <c r="M117" s="1278"/>
      <c r="N117" s="1278"/>
      <c r="O117" s="1278"/>
      <c r="P117" s="795" t="s">
        <v>3706</v>
      </c>
      <c r="Q117" s="734" t="s">
        <v>3587</v>
      </c>
      <c r="R117" s="796">
        <v>0</v>
      </c>
      <c r="S117" s="798"/>
    </row>
    <row r="118" spans="1:19" ht="45">
      <c r="A118" s="1454"/>
      <c r="B118" s="1278"/>
      <c r="C118" s="1278"/>
      <c r="D118" s="1278"/>
      <c r="E118" s="1278"/>
      <c r="F118" s="1278"/>
      <c r="G118" s="1278"/>
      <c r="H118" s="1282"/>
      <c r="I118" s="1283"/>
      <c r="J118" s="1297"/>
      <c r="K118" s="1278"/>
      <c r="L118" s="1278"/>
      <c r="M118" s="1278"/>
      <c r="N118" s="1278"/>
      <c r="O118" s="1278"/>
      <c r="P118" s="795" t="s">
        <v>3707</v>
      </c>
      <c r="Q118" s="734" t="s">
        <v>3587</v>
      </c>
      <c r="R118" s="796">
        <v>10</v>
      </c>
      <c r="S118" s="798"/>
    </row>
    <row r="119" spans="1:19" ht="49.5">
      <c r="A119" s="1389">
        <v>16</v>
      </c>
      <c r="B119" s="1361">
        <v>739026</v>
      </c>
      <c r="C119" s="1361" t="s">
        <v>1337</v>
      </c>
      <c r="D119" s="1358" t="s">
        <v>1348</v>
      </c>
      <c r="E119" s="1358" t="s">
        <v>1348</v>
      </c>
      <c r="F119" s="1361">
        <v>5</v>
      </c>
      <c r="G119" s="1361">
        <v>2</v>
      </c>
      <c r="H119" s="1379" t="s">
        <v>3708</v>
      </c>
      <c r="I119" s="1380"/>
      <c r="J119" s="1392" t="s">
        <v>3709</v>
      </c>
      <c r="K119" s="1361">
        <v>1</v>
      </c>
      <c r="L119" s="1361">
        <v>8</v>
      </c>
      <c r="M119" s="1393" t="s">
        <v>3710</v>
      </c>
      <c r="N119" s="1358" t="s">
        <v>1348</v>
      </c>
      <c r="O119" s="1358" t="s">
        <v>1348</v>
      </c>
      <c r="P119" s="392" t="s">
        <v>1349</v>
      </c>
      <c r="Q119" s="734" t="s">
        <v>3664</v>
      </c>
      <c r="R119" s="792">
        <v>500</v>
      </c>
      <c r="S119" s="794"/>
    </row>
    <row r="120" spans="1:19" ht="49.5">
      <c r="A120" s="1390"/>
      <c r="B120" s="1361"/>
      <c r="C120" s="1361"/>
      <c r="D120" s="1359"/>
      <c r="E120" s="1359"/>
      <c r="F120" s="1361"/>
      <c r="G120" s="1361"/>
      <c r="H120" s="1381"/>
      <c r="I120" s="1382"/>
      <c r="J120" s="1392"/>
      <c r="K120" s="1361"/>
      <c r="L120" s="1361"/>
      <c r="M120" s="1393"/>
      <c r="N120" s="1359"/>
      <c r="O120" s="1359"/>
      <c r="P120" s="392" t="s">
        <v>3022</v>
      </c>
      <c r="Q120" s="734" t="s">
        <v>3587</v>
      </c>
      <c r="R120" s="792">
        <v>50</v>
      </c>
      <c r="S120" s="794"/>
    </row>
    <row r="121" spans="1:19" ht="99">
      <c r="A121" s="1390"/>
      <c r="B121" s="1361"/>
      <c r="C121" s="1361"/>
      <c r="D121" s="1359"/>
      <c r="E121" s="1359"/>
      <c r="F121" s="1361"/>
      <c r="G121" s="1361"/>
      <c r="H121" s="1381"/>
      <c r="I121" s="1382"/>
      <c r="J121" s="1392"/>
      <c r="K121" s="1361"/>
      <c r="L121" s="1361"/>
      <c r="M121" s="1393"/>
      <c r="N121" s="1359"/>
      <c r="O121" s="1359"/>
      <c r="P121" s="392" t="s">
        <v>3071</v>
      </c>
      <c r="Q121" s="734" t="s">
        <v>3587</v>
      </c>
      <c r="R121" s="792">
        <v>100</v>
      </c>
      <c r="S121" s="794"/>
    </row>
    <row r="122" spans="1:19" ht="74.25">
      <c r="A122" s="1390"/>
      <c r="B122" s="1361"/>
      <c r="C122" s="1361"/>
      <c r="D122" s="1359"/>
      <c r="E122" s="1359"/>
      <c r="F122" s="1361"/>
      <c r="G122" s="1361"/>
      <c r="H122" s="1381"/>
      <c r="I122" s="1382"/>
      <c r="J122" s="1392"/>
      <c r="K122" s="1361"/>
      <c r="L122" s="1361"/>
      <c r="M122" s="1393"/>
      <c r="N122" s="1359"/>
      <c r="O122" s="1359"/>
      <c r="P122" s="392" t="s">
        <v>3072</v>
      </c>
      <c r="Q122" s="734" t="s">
        <v>3587</v>
      </c>
      <c r="R122" s="792">
        <v>10</v>
      </c>
      <c r="S122" s="793"/>
    </row>
    <row r="123" spans="1:19" ht="49.5">
      <c r="A123" s="1390"/>
      <c r="B123" s="1361"/>
      <c r="C123" s="1361"/>
      <c r="D123" s="1359"/>
      <c r="E123" s="1359"/>
      <c r="F123" s="1361"/>
      <c r="G123" s="1361"/>
      <c r="H123" s="1381"/>
      <c r="I123" s="1382"/>
      <c r="J123" s="1392"/>
      <c r="K123" s="1361"/>
      <c r="L123" s="1361"/>
      <c r="M123" s="1393"/>
      <c r="N123" s="1359"/>
      <c r="O123" s="1359"/>
      <c r="P123" s="392" t="s">
        <v>3672</v>
      </c>
      <c r="Q123" s="734" t="s">
        <v>3587</v>
      </c>
      <c r="R123" s="792">
        <v>15</v>
      </c>
      <c r="S123" s="793"/>
    </row>
    <row r="124" spans="1:19" ht="49.5">
      <c r="A124" s="1390"/>
      <c r="B124" s="1361"/>
      <c r="C124" s="1361"/>
      <c r="D124" s="1359"/>
      <c r="E124" s="1359"/>
      <c r="F124" s="1361"/>
      <c r="G124" s="1361"/>
      <c r="H124" s="1381"/>
      <c r="I124" s="1382"/>
      <c r="J124" s="1392"/>
      <c r="K124" s="1361"/>
      <c r="L124" s="1361"/>
      <c r="M124" s="1393"/>
      <c r="N124" s="1359"/>
      <c r="O124" s="1359"/>
      <c r="P124" s="392" t="s">
        <v>3074</v>
      </c>
      <c r="Q124" s="734" t="s">
        <v>3587</v>
      </c>
      <c r="R124" s="792">
        <v>36</v>
      </c>
      <c r="S124" s="794"/>
    </row>
    <row r="125" spans="1:19" ht="74.25">
      <c r="A125" s="1391"/>
      <c r="B125" s="1361"/>
      <c r="C125" s="1361"/>
      <c r="D125" s="1360"/>
      <c r="E125" s="1360"/>
      <c r="F125" s="1361"/>
      <c r="G125" s="1361"/>
      <c r="H125" s="1383"/>
      <c r="I125" s="1384"/>
      <c r="J125" s="1392"/>
      <c r="K125" s="1361"/>
      <c r="L125" s="1361"/>
      <c r="M125" s="1393"/>
      <c r="N125" s="1360"/>
      <c r="O125" s="1360"/>
      <c r="P125" s="392" t="s">
        <v>3075</v>
      </c>
      <c r="Q125" s="734" t="s">
        <v>3587</v>
      </c>
      <c r="R125" s="792">
        <v>14</v>
      </c>
      <c r="S125" s="793"/>
    </row>
    <row r="126" spans="1:19" ht="74.25">
      <c r="A126" s="1389">
        <v>17</v>
      </c>
      <c r="B126" s="1361">
        <v>739026</v>
      </c>
      <c r="C126" s="1361" t="s">
        <v>1334</v>
      </c>
      <c r="D126" s="1358" t="s">
        <v>1350</v>
      </c>
      <c r="E126" s="1358" t="s">
        <v>1350</v>
      </c>
      <c r="F126" s="1361">
        <v>6</v>
      </c>
      <c r="G126" s="1361">
        <v>2</v>
      </c>
      <c r="H126" s="1379" t="s">
        <v>3711</v>
      </c>
      <c r="I126" s="1380"/>
      <c r="J126" s="1392" t="s">
        <v>3712</v>
      </c>
      <c r="K126" s="1361">
        <v>0</v>
      </c>
      <c r="L126" s="1361">
        <v>9</v>
      </c>
      <c r="M126" s="1393" t="s">
        <v>3713</v>
      </c>
      <c r="N126" s="1358" t="s">
        <v>1350</v>
      </c>
      <c r="O126" s="1358" t="s">
        <v>1350</v>
      </c>
      <c r="P126" s="392" t="s">
        <v>1351</v>
      </c>
      <c r="Q126" s="734" t="s">
        <v>3664</v>
      </c>
      <c r="R126" s="792">
        <v>500</v>
      </c>
      <c r="S126" s="793"/>
    </row>
    <row r="127" spans="1:19" ht="49.5">
      <c r="A127" s="1390"/>
      <c r="B127" s="1361"/>
      <c r="C127" s="1361"/>
      <c r="D127" s="1359"/>
      <c r="E127" s="1359"/>
      <c r="F127" s="1361"/>
      <c r="G127" s="1361"/>
      <c r="H127" s="1381"/>
      <c r="I127" s="1382"/>
      <c r="J127" s="1392"/>
      <c r="K127" s="1361"/>
      <c r="L127" s="1361"/>
      <c r="M127" s="1393"/>
      <c r="N127" s="1359"/>
      <c r="O127" s="1359"/>
      <c r="P127" s="392" t="s">
        <v>3022</v>
      </c>
      <c r="Q127" s="734" t="s">
        <v>3587</v>
      </c>
      <c r="R127" s="792">
        <v>50</v>
      </c>
      <c r="S127" s="793"/>
    </row>
    <row r="128" spans="1:19" ht="74.25">
      <c r="A128" s="1391"/>
      <c r="B128" s="1361"/>
      <c r="C128" s="1361"/>
      <c r="D128" s="1360"/>
      <c r="E128" s="1360"/>
      <c r="F128" s="1361"/>
      <c r="G128" s="1361"/>
      <c r="H128" s="1383"/>
      <c r="I128" s="1384"/>
      <c r="J128" s="1392"/>
      <c r="K128" s="1361"/>
      <c r="L128" s="1361"/>
      <c r="M128" s="1393"/>
      <c r="N128" s="1360"/>
      <c r="O128" s="1360"/>
      <c r="P128" s="392" t="s">
        <v>3076</v>
      </c>
      <c r="Q128" s="734" t="s">
        <v>3587</v>
      </c>
      <c r="R128" s="792">
        <v>100</v>
      </c>
      <c r="S128" s="794"/>
    </row>
    <row r="129" spans="1:19" ht="123.75">
      <c r="A129" s="1389">
        <v>18</v>
      </c>
      <c r="B129" s="1358">
        <v>738873</v>
      </c>
      <c r="C129" s="1361" t="s">
        <v>1352</v>
      </c>
      <c r="D129" s="1358" t="s">
        <v>1353</v>
      </c>
      <c r="E129" s="1358" t="s">
        <v>1354</v>
      </c>
      <c r="F129" s="1361">
        <v>6</v>
      </c>
      <c r="G129" s="1361">
        <v>3</v>
      </c>
      <c r="H129" s="1379" t="s">
        <v>3714</v>
      </c>
      <c r="I129" s="1380"/>
      <c r="J129" s="1392" t="s">
        <v>3715</v>
      </c>
      <c r="K129" s="1361">
        <v>0</v>
      </c>
      <c r="L129" s="1361">
        <v>7</v>
      </c>
      <c r="M129" s="1361" t="s">
        <v>3716</v>
      </c>
      <c r="N129" s="1358" t="s">
        <v>1353</v>
      </c>
      <c r="O129" s="1358" t="s">
        <v>1354</v>
      </c>
      <c r="P129" s="392" t="s">
        <v>3077</v>
      </c>
      <c r="Q129" s="734" t="s">
        <v>3587</v>
      </c>
      <c r="R129" s="792">
        <v>25</v>
      </c>
      <c r="S129" s="793"/>
    </row>
    <row r="130" spans="1:19" ht="99">
      <c r="A130" s="1390"/>
      <c r="B130" s="1359"/>
      <c r="C130" s="1361"/>
      <c r="D130" s="1359"/>
      <c r="E130" s="1359"/>
      <c r="F130" s="1361"/>
      <c r="G130" s="1361"/>
      <c r="H130" s="1381"/>
      <c r="I130" s="1382"/>
      <c r="J130" s="1392"/>
      <c r="K130" s="1361"/>
      <c r="L130" s="1361"/>
      <c r="M130" s="1361"/>
      <c r="N130" s="1359"/>
      <c r="O130" s="1359"/>
      <c r="P130" s="392" t="s">
        <v>3078</v>
      </c>
      <c r="Q130" s="734" t="s">
        <v>3677</v>
      </c>
      <c r="R130" s="792">
        <v>200</v>
      </c>
      <c r="S130" s="793"/>
    </row>
    <row r="131" spans="1:19" ht="24.75">
      <c r="A131" s="1390"/>
      <c r="B131" s="1359"/>
      <c r="C131" s="1361"/>
      <c r="D131" s="1359"/>
      <c r="E131" s="1359"/>
      <c r="F131" s="1361"/>
      <c r="G131" s="1361"/>
      <c r="H131" s="1381"/>
      <c r="I131" s="1382"/>
      <c r="J131" s="1392"/>
      <c r="K131" s="1361"/>
      <c r="L131" s="1361"/>
      <c r="M131" s="1361"/>
      <c r="N131" s="1359"/>
      <c r="O131" s="1359"/>
      <c r="P131" s="392" t="s">
        <v>3079</v>
      </c>
      <c r="Q131" s="734" t="s">
        <v>3587</v>
      </c>
      <c r="R131" s="792">
        <v>36</v>
      </c>
      <c r="S131" s="793"/>
    </row>
    <row r="132" spans="1:19" ht="49.5">
      <c r="A132" s="1390"/>
      <c r="B132" s="1359"/>
      <c r="C132" s="1361"/>
      <c r="D132" s="1359"/>
      <c r="E132" s="1359"/>
      <c r="F132" s="1361"/>
      <c r="G132" s="1361"/>
      <c r="H132" s="1381"/>
      <c r="I132" s="1382"/>
      <c r="J132" s="1392"/>
      <c r="K132" s="1361"/>
      <c r="L132" s="1361"/>
      <c r="M132" s="1361"/>
      <c r="N132" s="1359"/>
      <c r="O132" s="1359"/>
      <c r="P132" s="392" t="s">
        <v>3080</v>
      </c>
      <c r="Q132" s="734" t="s">
        <v>3587</v>
      </c>
      <c r="R132" s="792">
        <v>36</v>
      </c>
      <c r="S132" s="793"/>
    </row>
    <row r="133" spans="1:19" ht="74.25">
      <c r="A133" s="1390"/>
      <c r="B133" s="1359"/>
      <c r="C133" s="1361"/>
      <c r="D133" s="1359"/>
      <c r="E133" s="1359"/>
      <c r="F133" s="1361"/>
      <c r="G133" s="1361"/>
      <c r="H133" s="1381"/>
      <c r="I133" s="1382"/>
      <c r="J133" s="1392"/>
      <c r="K133" s="1361"/>
      <c r="L133" s="1361"/>
      <c r="M133" s="1361"/>
      <c r="N133" s="1359"/>
      <c r="O133" s="1359"/>
      <c r="P133" s="392" t="s">
        <v>3081</v>
      </c>
      <c r="Q133" s="734" t="s">
        <v>3587</v>
      </c>
      <c r="R133" s="792">
        <v>10</v>
      </c>
      <c r="S133" s="793"/>
    </row>
    <row r="134" spans="1:19" ht="74.25">
      <c r="A134" s="1389">
        <v>19</v>
      </c>
      <c r="B134" s="1358">
        <v>738873</v>
      </c>
      <c r="C134" s="1361" t="s">
        <v>1355</v>
      </c>
      <c r="D134" s="1358" t="s">
        <v>1356</v>
      </c>
      <c r="E134" s="1358" t="s">
        <v>1356</v>
      </c>
      <c r="F134" s="1361">
        <v>7</v>
      </c>
      <c r="G134" s="1361">
        <v>4</v>
      </c>
      <c r="H134" s="1379" t="s">
        <v>3717</v>
      </c>
      <c r="I134" s="1380"/>
      <c r="J134" s="1392" t="s">
        <v>3718</v>
      </c>
      <c r="K134" s="1361">
        <v>0</v>
      </c>
      <c r="L134" s="1361">
        <v>7</v>
      </c>
      <c r="M134" s="1361" t="s">
        <v>3719</v>
      </c>
      <c r="N134" s="1358" t="s">
        <v>1356</v>
      </c>
      <c r="O134" s="1358" t="s">
        <v>1356</v>
      </c>
      <c r="P134" s="392" t="s">
        <v>3082</v>
      </c>
      <c r="Q134" s="734" t="s">
        <v>3587</v>
      </c>
      <c r="R134" s="792">
        <v>4</v>
      </c>
      <c r="S134" s="793"/>
    </row>
    <row r="135" spans="1:19" ht="148.5">
      <c r="A135" s="1390"/>
      <c r="B135" s="1359"/>
      <c r="C135" s="1361"/>
      <c r="D135" s="1359"/>
      <c r="E135" s="1359"/>
      <c r="F135" s="1361"/>
      <c r="G135" s="1361"/>
      <c r="H135" s="1381"/>
      <c r="I135" s="1382"/>
      <c r="J135" s="1392"/>
      <c r="K135" s="1361"/>
      <c r="L135" s="1361"/>
      <c r="M135" s="1361"/>
      <c r="N135" s="1359"/>
      <c r="O135" s="1359"/>
      <c r="P135" s="392" t="s">
        <v>3083</v>
      </c>
      <c r="Q135" s="734" t="s">
        <v>3664</v>
      </c>
      <c r="R135" s="792">
        <v>200</v>
      </c>
      <c r="S135" s="793"/>
    </row>
    <row r="136" spans="1:19" ht="99">
      <c r="A136" s="1390"/>
      <c r="B136" s="1359"/>
      <c r="C136" s="1361"/>
      <c r="D136" s="1359"/>
      <c r="E136" s="1359"/>
      <c r="F136" s="1361"/>
      <c r="G136" s="1361"/>
      <c r="H136" s="1381"/>
      <c r="I136" s="1382"/>
      <c r="J136" s="1392"/>
      <c r="K136" s="1361"/>
      <c r="L136" s="1361"/>
      <c r="M136" s="1361"/>
      <c r="N136" s="1359"/>
      <c r="O136" s="1359"/>
      <c r="P136" s="392" t="s">
        <v>1357</v>
      </c>
      <c r="Q136" s="734" t="s">
        <v>3664</v>
      </c>
      <c r="R136" s="792">
        <v>500</v>
      </c>
      <c r="S136" s="793"/>
    </row>
    <row r="137" spans="1:19" ht="49.5">
      <c r="A137" s="1390"/>
      <c r="B137" s="1359"/>
      <c r="C137" s="1361"/>
      <c r="D137" s="1359"/>
      <c r="E137" s="1359"/>
      <c r="F137" s="1361"/>
      <c r="G137" s="1361"/>
      <c r="H137" s="1381"/>
      <c r="I137" s="1382"/>
      <c r="J137" s="1392"/>
      <c r="K137" s="1361"/>
      <c r="L137" s="1361"/>
      <c r="M137" s="1361"/>
      <c r="N137" s="1359"/>
      <c r="O137" s="1359"/>
      <c r="P137" s="392" t="s">
        <v>3084</v>
      </c>
      <c r="Q137" s="734" t="s">
        <v>3587</v>
      </c>
      <c r="R137" s="792">
        <v>100</v>
      </c>
      <c r="S137" s="793"/>
    </row>
    <row r="138" spans="1:19" ht="123.75">
      <c r="A138" s="1390"/>
      <c r="B138" s="1359"/>
      <c r="C138" s="1361"/>
      <c r="D138" s="1359"/>
      <c r="E138" s="1359"/>
      <c r="F138" s="1361"/>
      <c r="G138" s="1361"/>
      <c r="H138" s="1381"/>
      <c r="I138" s="1382"/>
      <c r="J138" s="1392"/>
      <c r="K138" s="1361"/>
      <c r="L138" s="1361"/>
      <c r="M138" s="1361"/>
      <c r="N138" s="1359"/>
      <c r="O138" s="1359"/>
      <c r="P138" s="392" t="s">
        <v>3085</v>
      </c>
      <c r="Q138" s="734" t="s">
        <v>3587</v>
      </c>
      <c r="R138" s="792">
        <v>25</v>
      </c>
      <c r="S138" s="793"/>
    </row>
    <row r="139" spans="1:19" ht="49.5">
      <c r="A139" s="1390"/>
      <c r="B139" s="1359"/>
      <c r="C139" s="1361"/>
      <c r="D139" s="1359"/>
      <c r="E139" s="1359"/>
      <c r="F139" s="1361"/>
      <c r="G139" s="1361"/>
      <c r="H139" s="1381"/>
      <c r="I139" s="1382"/>
      <c r="J139" s="1392"/>
      <c r="K139" s="1361"/>
      <c r="L139" s="1361"/>
      <c r="M139" s="1361"/>
      <c r="N139" s="1359"/>
      <c r="O139" s="1359"/>
      <c r="P139" s="392" t="s">
        <v>3086</v>
      </c>
      <c r="Q139" s="734" t="s">
        <v>3587</v>
      </c>
      <c r="R139" s="792">
        <v>36</v>
      </c>
      <c r="S139" s="793"/>
    </row>
    <row r="140" spans="1:19" ht="49.5">
      <c r="A140" s="1390"/>
      <c r="B140" s="1359"/>
      <c r="C140" s="1361"/>
      <c r="D140" s="1359"/>
      <c r="E140" s="1359"/>
      <c r="F140" s="1361"/>
      <c r="G140" s="1361"/>
      <c r="H140" s="1381"/>
      <c r="I140" s="1382"/>
      <c r="J140" s="1392"/>
      <c r="K140" s="1361"/>
      <c r="L140" s="1361"/>
      <c r="M140" s="1361"/>
      <c r="N140" s="1359"/>
      <c r="O140" s="1359"/>
      <c r="P140" s="392" t="s">
        <v>3087</v>
      </c>
      <c r="Q140" s="734" t="s">
        <v>3587</v>
      </c>
      <c r="R140" s="792">
        <v>14</v>
      </c>
      <c r="S140" s="793"/>
    </row>
    <row r="141" spans="1:19" ht="24.75">
      <c r="A141" s="1391"/>
      <c r="B141" s="1360"/>
      <c r="C141" s="1361"/>
      <c r="D141" s="1360"/>
      <c r="E141" s="1360"/>
      <c r="F141" s="1361"/>
      <c r="G141" s="1361"/>
      <c r="H141" s="1383"/>
      <c r="I141" s="1384"/>
      <c r="J141" s="1392"/>
      <c r="K141" s="1361"/>
      <c r="L141" s="1361"/>
      <c r="M141" s="1361"/>
      <c r="N141" s="1360"/>
      <c r="O141" s="1360"/>
      <c r="P141" s="735" t="s">
        <v>3088</v>
      </c>
      <c r="Q141" s="734" t="s">
        <v>3587</v>
      </c>
      <c r="R141" s="792">
        <v>36</v>
      </c>
      <c r="S141" s="793"/>
    </row>
    <row r="142" spans="1:19" ht="49.5">
      <c r="A142" s="1389">
        <v>20</v>
      </c>
      <c r="B142" s="1361">
        <v>738873</v>
      </c>
      <c r="C142" s="1361" t="s">
        <v>1355</v>
      </c>
      <c r="D142" s="1358" t="s">
        <v>1358</v>
      </c>
      <c r="E142" s="1358" t="s">
        <v>1358</v>
      </c>
      <c r="F142" s="1361">
        <v>9</v>
      </c>
      <c r="G142" s="1361">
        <v>3</v>
      </c>
      <c r="H142" s="1379" t="s">
        <v>3720</v>
      </c>
      <c r="I142" s="1380"/>
      <c r="J142" s="1392" t="s">
        <v>3721</v>
      </c>
      <c r="K142" s="1361">
        <v>0</v>
      </c>
      <c r="L142" s="1361">
        <v>12</v>
      </c>
      <c r="M142" s="1393" t="s">
        <v>3722</v>
      </c>
      <c r="N142" s="1358" t="s">
        <v>1358</v>
      </c>
      <c r="O142" s="1358" t="s">
        <v>1358</v>
      </c>
      <c r="P142" s="392" t="s">
        <v>1359</v>
      </c>
      <c r="Q142" s="734" t="s">
        <v>3664</v>
      </c>
      <c r="R142" s="792">
        <v>1200</v>
      </c>
      <c r="S142" s="794"/>
    </row>
    <row r="143" spans="1:19" ht="99">
      <c r="A143" s="1390"/>
      <c r="B143" s="1361"/>
      <c r="C143" s="1361"/>
      <c r="D143" s="1359"/>
      <c r="E143" s="1359"/>
      <c r="F143" s="1361"/>
      <c r="G143" s="1361"/>
      <c r="H143" s="1381"/>
      <c r="I143" s="1382"/>
      <c r="J143" s="1392"/>
      <c r="K143" s="1361"/>
      <c r="L143" s="1361"/>
      <c r="M143" s="1393"/>
      <c r="N143" s="1359"/>
      <c r="O143" s="1359"/>
      <c r="P143" s="392" t="s">
        <v>3089</v>
      </c>
      <c r="Q143" s="734" t="s">
        <v>3677</v>
      </c>
      <c r="R143" s="792">
        <v>7000</v>
      </c>
      <c r="S143" s="794"/>
    </row>
    <row r="144" spans="1:19" ht="123.75">
      <c r="A144" s="1390"/>
      <c r="B144" s="1361"/>
      <c r="C144" s="1361"/>
      <c r="D144" s="1359"/>
      <c r="E144" s="1359"/>
      <c r="F144" s="1361"/>
      <c r="G144" s="1361"/>
      <c r="H144" s="1381"/>
      <c r="I144" s="1382"/>
      <c r="J144" s="1392"/>
      <c r="K144" s="1361"/>
      <c r="L144" s="1361"/>
      <c r="M144" s="1393"/>
      <c r="N144" s="1359"/>
      <c r="O144" s="1359"/>
      <c r="P144" s="392" t="s">
        <v>1360</v>
      </c>
      <c r="Q144" s="734" t="s">
        <v>3664</v>
      </c>
      <c r="R144" s="792">
        <v>200</v>
      </c>
      <c r="S144" s="793"/>
    </row>
    <row r="145" spans="1:19" ht="49.5">
      <c r="A145" s="1390"/>
      <c r="B145" s="1361"/>
      <c r="C145" s="1361"/>
      <c r="D145" s="1359"/>
      <c r="E145" s="1359"/>
      <c r="F145" s="1361"/>
      <c r="G145" s="1361"/>
      <c r="H145" s="1381"/>
      <c r="I145" s="1382"/>
      <c r="J145" s="1392"/>
      <c r="K145" s="1361"/>
      <c r="L145" s="1361"/>
      <c r="M145" s="1393"/>
      <c r="N145" s="1359"/>
      <c r="O145" s="1359"/>
      <c r="P145" s="392" t="s">
        <v>3031</v>
      </c>
      <c r="Q145" s="734" t="s">
        <v>3587</v>
      </c>
      <c r="R145" s="792">
        <v>36</v>
      </c>
      <c r="S145" s="793"/>
    </row>
    <row r="146" spans="1:19" ht="49.5">
      <c r="A146" s="1390"/>
      <c r="B146" s="1361"/>
      <c r="C146" s="1361"/>
      <c r="D146" s="1359"/>
      <c r="E146" s="1359"/>
      <c r="F146" s="1361"/>
      <c r="G146" s="1361"/>
      <c r="H146" s="1381"/>
      <c r="I146" s="1382"/>
      <c r="J146" s="1392"/>
      <c r="K146" s="1361"/>
      <c r="L146" s="1361"/>
      <c r="M146" s="1393"/>
      <c r="N146" s="1359"/>
      <c r="O146" s="1359"/>
      <c r="P146" s="392" t="s">
        <v>3672</v>
      </c>
      <c r="Q146" s="734" t="s">
        <v>3587</v>
      </c>
      <c r="R146" s="792">
        <v>10</v>
      </c>
      <c r="S146" s="799"/>
    </row>
    <row r="147" spans="1:19" ht="49.5">
      <c r="A147" s="1390"/>
      <c r="B147" s="1361"/>
      <c r="C147" s="1361"/>
      <c r="D147" s="1359"/>
      <c r="E147" s="1359"/>
      <c r="F147" s="1361"/>
      <c r="G147" s="1361"/>
      <c r="H147" s="1381"/>
      <c r="I147" s="1382"/>
      <c r="J147" s="1392"/>
      <c r="K147" s="1361"/>
      <c r="L147" s="1361"/>
      <c r="M147" s="1393"/>
      <c r="N147" s="1359"/>
      <c r="O147" s="1359"/>
      <c r="P147" s="392" t="s">
        <v>3091</v>
      </c>
      <c r="Q147" s="734" t="s">
        <v>3587</v>
      </c>
      <c r="R147" s="792">
        <v>14</v>
      </c>
      <c r="S147" s="800"/>
    </row>
    <row r="148" spans="1:19" ht="24.75">
      <c r="A148" s="1391"/>
      <c r="B148" s="1361"/>
      <c r="C148" s="1361"/>
      <c r="D148" s="1360"/>
      <c r="E148" s="1360"/>
      <c r="F148" s="1361"/>
      <c r="G148" s="1361"/>
      <c r="H148" s="1383"/>
      <c r="I148" s="1384"/>
      <c r="J148" s="1392"/>
      <c r="K148" s="1361"/>
      <c r="L148" s="1361"/>
      <c r="M148" s="1393"/>
      <c r="N148" s="1360"/>
      <c r="O148" s="1360"/>
      <c r="P148" s="392" t="s">
        <v>3092</v>
      </c>
      <c r="Q148" s="734" t="s">
        <v>3587</v>
      </c>
      <c r="R148" s="792">
        <v>100</v>
      </c>
      <c r="S148" s="800"/>
    </row>
    <row r="149" spans="1:19" ht="247.5">
      <c r="A149" s="1389">
        <v>21</v>
      </c>
      <c r="B149" s="1358">
        <v>737964</v>
      </c>
      <c r="C149" s="1361" t="s">
        <v>380</v>
      </c>
      <c r="D149" s="1388" t="s">
        <v>1362</v>
      </c>
      <c r="E149" s="1388" t="s">
        <v>1362</v>
      </c>
      <c r="F149" s="1361">
        <v>4</v>
      </c>
      <c r="G149" s="1361">
        <v>3</v>
      </c>
      <c r="H149" s="1379" t="s">
        <v>3723</v>
      </c>
      <c r="I149" s="1380"/>
      <c r="J149" s="1392" t="s">
        <v>1363</v>
      </c>
      <c r="K149" s="1361">
        <v>0</v>
      </c>
      <c r="L149" s="1361">
        <v>4</v>
      </c>
      <c r="M149" s="1361" t="s">
        <v>3724</v>
      </c>
      <c r="N149" s="1388" t="s">
        <v>1362</v>
      </c>
      <c r="O149" s="1388" t="s">
        <v>1362</v>
      </c>
      <c r="P149" s="392" t="s">
        <v>1364</v>
      </c>
      <c r="Q149" s="734" t="s">
        <v>3664</v>
      </c>
      <c r="R149" s="792">
        <v>200</v>
      </c>
      <c r="S149" s="800"/>
    </row>
    <row r="150" spans="1:19" ht="74.25">
      <c r="A150" s="1390"/>
      <c r="B150" s="1359"/>
      <c r="C150" s="1361"/>
      <c r="D150" s="1388"/>
      <c r="E150" s="1388"/>
      <c r="F150" s="1361"/>
      <c r="G150" s="1361"/>
      <c r="H150" s="1381"/>
      <c r="I150" s="1382"/>
      <c r="J150" s="1392"/>
      <c r="K150" s="1361"/>
      <c r="L150" s="1361"/>
      <c r="M150" s="1361"/>
      <c r="N150" s="1388"/>
      <c r="O150" s="1388"/>
      <c r="P150" s="392" t="s">
        <v>1365</v>
      </c>
      <c r="Q150" s="734" t="s">
        <v>3610</v>
      </c>
      <c r="R150" s="792">
        <v>200</v>
      </c>
      <c r="S150" s="799"/>
    </row>
    <row r="151" spans="1:19" ht="49.5">
      <c r="A151" s="1390"/>
      <c r="B151" s="1359"/>
      <c r="C151" s="1361"/>
      <c r="D151" s="1388"/>
      <c r="E151" s="1388"/>
      <c r="F151" s="1361"/>
      <c r="G151" s="1361"/>
      <c r="H151" s="1381"/>
      <c r="I151" s="1382"/>
      <c r="J151" s="1392"/>
      <c r="K151" s="1361"/>
      <c r="L151" s="1361"/>
      <c r="M151" s="1361"/>
      <c r="N151" s="1388"/>
      <c r="O151" s="1388"/>
      <c r="P151" s="392" t="s">
        <v>3097</v>
      </c>
      <c r="Q151" s="734" t="s">
        <v>3587</v>
      </c>
      <c r="R151" s="792">
        <v>14</v>
      </c>
      <c r="S151" s="799"/>
    </row>
    <row r="152" spans="1:19" ht="24.75">
      <c r="A152" s="1390"/>
      <c r="B152" s="1359"/>
      <c r="C152" s="1361"/>
      <c r="D152" s="1388"/>
      <c r="E152" s="1388"/>
      <c r="F152" s="1361"/>
      <c r="G152" s="1361"/>
      <c r="H152" s="1381"/>
      <c r="I152" s="1382"/>
      <c r="J152" s="1392"/>
      <c r="K152" s="1361"/>
      <c r="L152" s="1361"/>
      <c r="M152" s="1361"/>
      <c r="N152" s="1388"/>
      <c r="O152" s="1388"/>
      <c r="P152" s="392" t="s">
        <v>3098</v>
      </c>
      <c r="Q152" s="734" t="s">
        <v>3587</v>
      </c>
      <c r="R152" s="792">
        <v>36</v>
      </c>
      <c r="S152" s="799"/>
    </row>
    <row r="153" spans="1:19" ht="24.75">
      <c r="A153" s="1391"/>
      <c r="B153" s="1360"/>
      <c r="C153" s="1361"/>
      <c r="D153" s="1388"/>
      <c r="E153" s="1388"/>
      <c r="F153" s="1361"/>
      <c r="G153" s="1361"/>
      <c r="H153" s="1383"/>
      <c r="I153" s="1384"/>
      <c r="J153" s="1392"/>
      <c r="K153" s="1361"/>
      <c r="L153" s="1361"/>
      <c r="M153" s="1361"/>
      <c r="N153" s="1388"/>
      <c r="O153" s="1388"/>
      <c r="P153" s="392" t="s">
        <v>3099</v>
      </c>
      <c r="Q153" s="734" t="s">
        <v>3587</v>
      </c>
      <c r="R153" s="792">
        <v>36</v>
      </c>
      <c r="S153" s="800"/>
    </row>
    <row r="154" spans="1:19" ht="49.5">
      <c r="A154" s="1385">
        <v>22</v>
      </c>
      <c r="B154" s="1388">
        <v>742735</v>
      </c>
      <c r="C154" s="1361" t="s">
        <v>1366</v>
      </c>
      <c r="D154" s="1358" t="s">
        <v>1367</v>
      </c>
      <c r="E154" s="1358" t="s">
        <v>1368</v>
      </c>
      <c r="F154" s="1361">
        <v>4</v>
      </c>
      <c r="G154" s="1361">
        <v>3</v>
      </c>
      <c r="H154" s="1379" t="s">
        <v>3725</v>
      </c>
      <c r="I154" s="1380"/>
      <c r="J154" s="1392" t="s">
        <v>1369</v>
      </c>
      <c r="K154" s="1361">
        <v>0</v>
      </c>
      <c r="L154" s="1361">
        <v>5</v>
      </c>
      <c r="M154" s="1361" t="s">
        <v>3726</v>
      </c>
      <c r="N154" s="1358" t="s">
        <v>1367</v>
      </c>
      <c r="O154" s="1358" t="s">
        <v>1368</v>
      </c>
      <c r="P154" s="392" t="s">
        <v>1370</v>
      </c>
      <c r="Q154" s="734" t="s">
        <v>3664</v>
      </c>
      <c r="R154" s="792">
        <v>200</v>
      </c>
      <c r="S154" s="800"/>
    </row>
    <row r="155" spans="1:19" ht="49.5">
      <c r="A155" s="1386"/>
      <c r="B155" s="1388"/>
      <c r="C155" s="1361"/>
      <c r="D155" s="1359"/>
      <c r="E155" s="1359"/>
      <c r="F155" s="1361"/>
      <c r="G155" s="1361"/>
      <c r="H155" s="1381"/>
      <c r="I155" s="1382"/>
      <c r="J155" s="1392"/>
      <c r="K155" s="1361"/>
      <c r="L155" s="1361"/>
      <c r="M155" s="1361"/>
      <c r="N155" s="1359"/>
      <c r="O155" s="1359"/>
      <c r="P155" s="392" t="s">
        <v>3111</v>
      </c>
      <c r="Q155" s="734" t="s">
        <v>3587</v>
      </c>
      <c r="R155" s="792">
        <v>14</v>
      </c>
      <c r="S155" s="800"/>
    </row>
    <row r="156" spans="1:19" ht="24.75">
      <c r="A156" s="1386"/>
      <c r="B156" s="1388"/>
      <c r="C156" s="1361"/>
      <c r="D156" s="1359"/>
      <c r="E156" s="1359"/>
      <c r="F156" s="1361"/>
      <c r="G156" s="1361"/>
      <c r="H156" s="1381"/>
      <c r="I156" s="1382"/>
      <c r="J156" s="1392"/>
      <c r="K156" s="1361"/>
      <c r="L156" s="1361"/>
      <c r="M156" s="1361"/>
      <c r="N156" s="1359"/>
      <c r="O156" s="1359"/>
      <c r="P156" s="392" t="s">
        <v>3108</v>
      </c>
      <c r="Q156" s="734" t="s">
        <v>3587</v>
      </c>
      <c r="R156" s="792">
        <v>36</v>
      </c>
      <c r="S156" s="799"/>
    </row>
    <row r="157" spans="1:19" ht="49.5">
      <c r="A157" s="1387"/>
      <c r="B157" s="1388"/>
      <c r="C157" s="1361"/>
      <c r="D157" s="1360"/>
      <c r="E157" s="1360"/>
      <c r="F157" s="1361"/>
      <c r="G157" s="1361"/>
      <c r="H157" s="1383"/>
      <c r="I157" s="1384"/>
      <c r="J157" s="1392"/>
      <c r="K157" s="1361"/>
      <c r="L157" s="1361"/>
      <c r="M157" s="1361"/>
      <c r="N157" s="1360"/>
      <c r="O157" s="1360"/>
      <c r="P157" s="392" t="s">
        <v>3727</v>
      </c>
      <c r="Q157" s="734" t="s">
        <v>3587</v>
      </c>
      <c r="R157" s="792">
        <v>10</v>
      </c>
      <c r="S157" s="800"/>
    </row>
    <row r="158" spans="1:19" ht="99">
      <c r="A158" s="1338">
        <v>23</v>
      </c>
      <c r="B158" s="1346" t="s">
        <v>2035</v>
      </c>
      <c r="C158" s="878" t="s">
        <v>3728</v>
      </c>
      <c r="D158" s="1343" t="s">
        <v>3729</v>
      </c>
      <c r="E158" s="1343" t="s">
        <v>3730</v>
      </c>
      <c r="F158" s="878">
        <v>5</v>
      </c>
      <c r="G158" s="878">
        <v>3</v>
      </c>
      <c r="H158" s="1320" t="s">
        <v>3731</v>
      </c>
      <c r="I158" s="1321"/>
      <c r="J158" s="1333" t="s">
        <v>3732</v>
      </c>
      <c r="K158" s="878">
        <v>1</v>
      </c>
      <c r="L158" s="1346">
        <v>8</v>
      </c>
      <c r="M158" s="1346" t="s">
        <v>3733</v>
      </c>
      <c r="N158" s="1343" t="s">
        <v>3729</v>
      </c>
      <c r="O158" s="1343" t="s">
        <v>3730</v>
      </c>
      <c r="P158" s="791" t="s">
        <v>3734</v>
      </c>
      <c r="Q158" s="1417">
        <v>2020</v>
      </c>
      <c r="R158" s="790">
        <v>30</v>
      </c>
      <c r="S158" s="1346"/>
    </row>
    <row r="159" spans="1:19" ht="24.75">
      <c r="A159" s="1339"/>
      <c r="B159" s="1347"/>
      <c r="C159" s="881"/>
      <c r="D159" s="1344"/>
      <c r="E159" s="1344"/>
      <c r="F159" s="881"/>
      <c r="G159" s="881"/>
      <c r="H159" s="1322"/>
      <c r="I159" s="1323"/>
      <c r="J159" s="1334"/>
      <c r="K159" s="881"/>
      <c r="L159" s="1347"/>
      <c r="M159" s="1347"/>
      <c r="N159" s="1344"/>
      <c r="O159" s="1344"/>
      <c r="P159" s="392" t="s">
        <v>3103</v>
      </c>
      <c r="Q159" s="1422"/>
      <c r="R159" s="790"/>
      <c r="S159" s="1347"/>
    </row>
    <row r="160" spans="1:19" ht="74.25">
      <c r="A160" s="1339"/>
      <c r="B160" s="1347"/>
      <c r="C160" s="881"/>
      <c r="D160" s="1344"/>
      <c r="E160" s="1344"/>
      <c r="F160" s="881"/>
      <c r="G160" s="881"/>
      <c r="H160" s="1322"/>
      <c r="I160" s="1323"/>
      <c r="J160" s="1334"/>
      <c r="K160" s="881"/>
      <c r="L160" s="1347"/>
      <c r="M160" s="1347"/>
      <c r="N160" s="1344"/>
      <c r="O160" s="1344"/>
      <c r="P160" s="392" t="s">
        <v>3735</v>
      </c>
      <c r="Q160" s="1422"/>
      <c r="R160" s="790">
        <v>150</v>
      </c>
      <c r="S160" s="1347"/>
    </row>
    <row r="161" spans="1:19" ht="74.25">
      <c r="A161" s="1339"/>
      <c r="B161" s="1347"/>
      <c r="C161" s="881"/>
      <c r="D161" s="1344"/>
      <c r="E161" s="1344"/>
      <c r="F161" s="881"/>
      <c r="G161" s="881"/>
      <c r="H161" s="1322"/>
      <c r="I161" s="1323"/>
      <c r="J161" s="1334"/>
      <c r="K161" s="881"/>
      <c r="L161" s="1347"/>
      <c r="M161" s="1347"/>
      <c r="N161" s="1344"/>
      <c r="O161" s="1344"/>
      <c r="P161" s="789" t="s">
        <v>3736</v>
      </c>
      <c r="Q161" s="1422"/>
      <c r="R161" s="801">
        <v>30</v>
      </c>
      <c r="S161" s="1347"/>
    </row>
    <row r="162" spans="1:19" ht="74.25">
      <c r="A162" s="1376"/>
      <c r="B162" s="1400"/>
      <c r="C162" s="879"/>
      <c r="D162" s="1345"/>
      <c r="E162" s="1345"/>
      <c r="F162" s="879"/>
      <c r="G162" s="879"/>
      <c r="H162" s="1324"/>
      <c r="I162" s="1325"/>
      <c r="J162" s="1335"/>
      <c r="K162" s="879"/>
      <c r="L162" s="1400"/>
      <c r="M162" s="1400"/>
      <c r="N162" s="1345"/>
      <c r="O162" s="1345"/>
      <c r="P162" s="791" t="s">
        <v>3737</v>
      </c>
      <c r="Q162" s="1423"/>
      <c r="R162" s="801"/>
      <c r="S162" s="1400"/>
    </row>
    <row r="163" spans="1:19" ht="49.5">
      <c r="A163" s="1385">
        <v>24</v>
      </c>
      <c r="B163" s="1388">
        <v>739444</v>
      </c>
      <c r="C163" s="1361" t="s">
        <v>1371</v>
      </c>
      <c r="D163" s="1358" t="s">
        <v>1372</v>
      </c>
      <c r="E163" s="1358" t="s">
        <v>1373</v>
      </c>
      <c r="F163" s="1361">
        <v>5</v>
      </c>
      <c r="G163" s="1361">
        <v>2</v>
      </c>
      <c r="H163" s="1379" t="s">
        <v>3738</v>
      </c>
      <c r="I163" s="1380"/>
      <c r="J163" s="1392" t="s">
        <v>3739</v>
      </c>
      <c r="K163" s="1361">
        <v>1</v>
      </c>
      <c r="L163" s="1361">
        <v>5</v>
      </c>
      <c r="M163" s="1393" t="s">
        <v>3740</v>
      </c>
      <c r="N163" s="1358" t="s">
        <v>1372</v>
      </c>
      <c r="O163" s="1358" t="s">
        <v>1373</v>
      </c>
      <c r="P163" s="392" t="s">
        <v>3106</v>
      </c>
      <c r="Q163" s="734" t="s">
        <v>3587</v>
      </c>
      <c r="R163" s="792">
        <v>10</v>
      </c>
      <c r="S163" s="800"/>
    </row>
    <row r="164" spans="1:19" ht="24.75">
      <c r="A164" s="1386"/>
      <c r="B164" s="1388"/>
      <c r="C164" s="1361"/>
      <c r="D164" s="1359"/>
      <c r="E164" s="1359"/>
      <c r="F164" s="1361"/>
      <c r="G164" s="1361"/>
      <c r="H164" s="1381"/>
      <c r="I164" s="1382"/>
      <c r="J164" s="1392"/>
      <c r="K164" s="1361"/>
      <c r="L164" s="1361"/>
      <c r="M164" s="1393"/>
      <c r="N164" s="1359"/>
      <c r="O164" s="1359"/>
      <c r="P164" s="392" t="s">
        <v>3103</v>
      </c>
      <c r="Q164" s="734" t="s">
        <v>3587</v>
      </c>
      <c r="R164" s="792">
        <v>14</v>
      </c>
      <c r="S164" s="800"/>
    </row>
    <row r="165" spans="1:19" ht="74.25">
      <c r="A165" s="1386"/>
      <c r="B165" s="1388"/>
      <c r="C165" s="1361"/>
      <c r="D165" s="1359"/>
      <c r="E165" s="1359"/>
      <c r="F165" s="1361"/>
      <c r="G165" s="1361"/>
      <c r="H165" s="1381"/>
      <c r="I165" s="1382"/>
      <c r="J165" s="1392"/>
      <c r="K165" s="1361"/>
      <c r="L165" s="1361"/>
      <c r="M165" s="1393"/>
      <c r="N165" s="1359"/>
      <c r="O165" s="1359"/>
      <c r="P165" s="392" t="s">
        <v>3741</v>
      </c>
      <c r="Q165" s="734" t="s">
        <v>3587</v>
      </c>
      <c r="R165" s="792">
        <v>36</v>
      </c>
      <c r="S165" s="800"/>
    </row>
    <row r="166" spans="1:19" ht="123.75">
      <c r="A166" s="1385">
        <v>25</v>
      </c>
      <c r="B166" s="1388">
        <v>739444</v>
      </c>
      <c r="C166" s="1361" t="s">
        <v>1374</v>
      </c>
      <c r="D166" s="1358" t="s">
        <v>1320</v>
      </c>
      <c r="E166" s="1358" t="s">
        <v>1339</v>
      </c>
      <c r="F166" s="1361">
        <v>5</v>
      </c>
      <c r="G166" s="1361">
        <v>2</v>
      </c>
      <c r="H166" s="1379" t="s">
        <v>3742</v>
      </c>
      <c r="I166" s="1380"/>
      <c r="J166" s="1392" t="s">
        <v>3743</v>
      </c>
      <c r="K166" s="1361">
        <v>0</v>
      </c>
      <c r="L166" s="1361">
        <v>7</v>
      </c>
      <c r="M166" s="1393" t="s">
        <v>3744</v>
      </c>
      <c r="N166" s="1358" t="s">
        <v>1320</v>
      </c>
      <c r="O166" s="1358" t="s">
        <v>1339</v>
      </c>
      <c r="P166" s="392" t="s">
        <v>1375</v>
      </c>
      <c r="Q166" s="734" t="s">
        <v>3664</v>
      </c>
      <c r="R166" s="792">
        <v>500</v>
      </c>
      <c r="S166" s="800"/>
    </row>
    <row r="167" spans="1:19" ht="49.5">
      <c r="A167" s="1386"/>
      <c r="B167" s="1388"/>
      <c r="C167" s="1361"/>
      <c r="D167" s="1359"/>
      <c r="E167" s="1359"/>
      <c r="F167" s="1361"/>
      <c r="G167" s="1361"/>
      <c r="H167" s="1381"/>
      <c r="I167" s="1382"/>
      <c r="J167" s="1392"/>
      <c r="K167" s="1361"/>
      <c r="L167" s="1361"/>
      <c r="M167" s="1393"/>
      <c r="N167" s="1359"/>
      <c r="O167" s="1359"/>
      <c r="P167" s="392" t="s">
        <v>3674</v>
      </c>
      <c r="Q167" s="734" t="s">
        <v>3587</v>
      </c>
      <c r="R167" s="792">
        <v>10</v>
      </c>
      <c r="S167" s="800"/>
    </row>
    <row r="168" spans="1:19" ht="24.75">
      <c r="A168" s="1386"/>
      <c r="B168" s="1388"/>
      <c r="C168" s="1361"/>
      <c r="D168" s="1359"/>
      <c r="E168" s="1359"/>
      <c r="F168" s="1361"/>
      <c r="G168" s="1361"/>
      <c r="H168" s="1381"/>
      <c r="I168" s="1382"/>
      <c r="J168" s="1392"/>
      <c r="K168" s="1361"/>
      <c r="L168" s="1361"/>
      <c r="M168" s="1393"/>
      <c r="N168" s="1359"/>
      <c r="O168" s="1359"/>
      <c r="P168" s="392" t="s">
        <v>3108</v>
      </c>
      <c r="Q168" s="734" t="s">
        <v>3587</v>
      </c>
      <c r="R168" s="792">
        <v>36</v>
      </c>
      <c r="S168" s="800"/>
    </row>
    <row r="169" spans="1:19" ht="49.5">
      <c r="A169" s="1387"/>
      <c r="B169" s="1388"/>
      <c r="C169" s="1361"/>
      <c r="D169" s="1360"/>
      <c r="E169" s="1360"/>
      <c r="F169" s="1361"/>
      <c r="G169" s="1361"/>
      <c r="H169" s="1383"/>
      <c r="I169" s="1384"/>
      <c r="J169" s="1392"/>
      <c r="K169" s="1361"/>
      <c r="L169" s="1361"/>
      <c r="M169" s="1393"/>
      <c r="N169" s="1360"/>
      <c r="O169" s="1360"/>
      <c r="P169" s="392" t="s">
        <v>3121</v>
      </c>
      <c r="Q169" s="734" t="s">
        <v>3587</v>
      </c>
      <c r="R169" s="792">
        <v>14</v>
      </c>
      <c r="S169" s="800"/>
    </row>
    <row r="170" spans="1:19" ht="74.25">
      <c r="A170" s="1385">
        <v>26</v>
      </c>
      <c r="B170" s="1388">
        <v>739444</v>
      </c>
      <c r="C170" s="1361" t="s">
        <v>1371</v>
      </c>
      <c r="D170" s="1358" t="s">
        <v>1376</v>
      </c>
      <c r="E170" s="1358" t="s">
        <v>1376</v>
      </c>
      <c r="F170" s="1361">
        <v>6</v>
      </c>
      <c r="G170" s="1361">
        <v>3</v>
      </c>
      <c r="H170" s="1379" t="s">
        <v>3745</v>
      </c>
      <c r="I170" s="1380"/>
      <c r="J170" s="1392" t="s">
        <v>3746</v>
      </c>
      <c r="K170" s="1361">
        <v>3</v>
      </c>
      <c r="L170" s="1361">
        <v>4</v>
      </c>
      <c r="M170" s="1393" t="s">
        <v>3747</v>
      </c>
      <c r="N170" s="1358" t="s">
        <v>1376</v>
      </c>
      <c r="O170" s="1358" t="s">
        <v>1376</v>
      </c>
      <c r="P170" s="392" t="s">
        <v>1377</v>
      </c>
      <c r="Q170" s="734" t="s">
        <v>3587</v>
      </c>
      <c r="R170" s="792">
        <v>10</v>
      </c>
      <c r="S170" s="800"/>
    </row>
    <row r="171" spans="1:19" ht="74.25">
      <c r="A171" s="1386"/>
      <c r="B171" s="1388"/>
      <c r="C171" s="1361"/>
      <c r="D171" s="1359"/>
      <c r="E171" s="1359"/>
      <c r="F171" s="1361"/>
      <c r="G171" s="1361"/>
      <c r="H171" s="1381"/>
      <c r="I171" s="1382"/>
      <c r="J171" s="1392"/>
      <c r="K171" s="1361"/>
      <c r="L171" s="1361"/>
      <c r="M171" s="1393"/>
      <c r="N171" s="1359"/>
      <c r="O171" s="1359"/>
      <c r="P171" s="392" t="s">
        <v>3122</v>
      </c>
      <c r="Q171" s="734" t="s">
        <v>3587</v>
      </c>
      <c r="R171" s="792">
        <v>100</v>
      </c>
      <c r="S171" s="800"/>
    </row>
    <row r="172" spans="1:19" ht="49.5">
      <c r="A172" s="1386"/>
      <c r="B172" s="1388"/>
      <c r="C172" s="1361"/>
      <c r="D172" s="1359"/>
      <c r="E172" s="1359"/>
      <c r="F172" s="1361"/>
      <c r="G172" s="1361"/>
      <c r="H172" s="1381"/>
      <c r="I172" s="1382"/>
      <c r="J172" s="1392"/>
      <c r="K172" s="1361"/>
      <c r="L172" s="1361"/>
      <c r="M172" s="1393"/>
      <c r="N172" s="1359"/>
      <c r="O172" s="1359"/>
      <c r="P172" s="392" t="s">
        <v>3123</v>
      </c>
      <c r="Q172" s="734" t="s">
        <v>3587</v>
      </c>
      <c r="R172" s="792">
        <v>36</v>
      </c>
      <c r="S172" s="800"/>
    </row>
    <row r="173" spans="1:19" ht="49.5">
      <c r="A173" s="1386"/>
      <c r="B173" s="1388"/>
      <c r="C173" s="1361"/>
      <c r="D173" s="1359"/>
      <c r="E173" s="1359"/>
      <c r="F173" s="1361"/>
      <c r="G173" s="1361"/>
      <c r="H173" s="1381"/>
      <c r="I173" s="1382"/>
      <c r="J173" s="1392"/>
      <c r="K173" s="1361"/>
      <c r="L173" s="1361"/>
      <c r="M173" s="1393"/>
      <c r="N173" s="1359"/>
      <c r="O173" s="1359"/>
      <c r="P173" s="392" t="s">
        <v>3124</v>
      </c>
      <c r="Q173" s="734" t="s">
        <v>3587</v>
      </c>
      <c r="R173" s="792">
        <v>21</v>
      </c>
      <c r="S173" s="800"/>
    </row>
    <row r="174" spans="1:19" ht="49.5">
      <c r="A174" s="1387"/>
      <c r="B174" s="1388"/>
      <c r="C174" s="1361"/>
      <c r="D174" s="1360"/>
      <c r="E174" s="1360"/>
      <c r="F174" s="1361"/>
      <c r="G174" s="1361"/>
      <c r="H174" s="1383"/>
      <c r="I174" s="1384"/>
      <c r="J174" s="1392"/>
      <c r="K174" s="1361"/>
      <c r="L174" s="1361"/>
      <c r="M174" s="1393"/>
      <c r="N174" s="1360"/>
      <c r="O174" s="1360"/>
      <c r="P174" s="392" t="s">
        <v>3672</v>
      </c>
      <c r="Q174" s="734" t="s">
        <v>3587</v>
      </c>
      <c r="R174" s="792">
        <v>10</v>
      </c>
      <c r="S174" s="800"/>
    </row>
    <row r="175" spans="1:19" ht="74.25">
      <c r="A175" s="1338">
        <v>27</v>
      </c>
      <c r="B175" s="1299" t="s">
        <v>2293</v>
      </c>
      <c r="C175" s="878" t="s">
        <v>3748</v>
      </c>
      <c r="D175" s="1343" t="s">
        <v>3749</v>
      </c>
      <c r="E175" s="1343" t="s">
        <v>1347</v>
      </c>
      <c r="F175" s="878">
        <v>3</v>
      </c>
      <c r="G175" s="878">
        <v>3</v>
      </c>
      <c r="H175" s="1320" t="s">
        <v>3640</v>
      </c>
      <c r="I175" s="1321"/>
      <c r="J175" s="1333" t="s">
        <v>3750</v>
      </c>
      <c r="K175" s="1346">
        <v>0</v>
      </c>
      <c r="L175" s="1346">
        <v>3</v>
      </c>
      <c r="M175" s="1346" t="s">
        <v>3751</v>
      </c>
      <c r="N175" s="1343" t="s">
        <v>3749</v>
      </c>
      <c r="O175" s="1343" t="s">
        <v>1347</v>
      </c>
      <c r="P175" s="791" t="s">
        <v>3752</v>
      </c>
      <c r="Q175" s="1417" t="s">
        <v>3587</v>
      </c>
      <c r="R175" s="790">
        <v>150</v>
      </c>
      <c r="S175" s="1346"/>
    </row>
    <row r="176" spans="1:19" ht="74.25">
      <c r="A176" s="1339"/>
      <c r="B176" s="1312"/>
      <c r="C176" s="881"/>
      <c r="D176" s="1344"/>
      <c r="E176" s="1344"/>
      <c r="F176" s="881"/>
      <c r="G176" s="881"/>
      <c r="H176" s="1322"/>
      <c r="I176" s="1323"/>
      <c r="J176" s="1334"/>
      <c r="K176" s="1347"/>
      <c r="L176" s="1347"/>
      <c r="M176" s="1347"/>
      <c r="N176" s="1344"/>
      <c r="O176" s="1344"/>
      <c r="P176" s="791" t="s">
        <v>3658</v>
      </c>
      <c r="Q176" s="1422"/>
      <c r="R176" s="1427"/>
      <c r="S176" s="1347"/>
    </row>
    <row r="177" spans="1:19" ht="49.5">
      <c r="A177" s="1339"/>
      <c r="B177" s="1312"/>
      <c r="C177" s="881"/>
      <c r="D177" s="1344"/>
      <c r="E177" s="1344"/>
      <c r="F177" s="881"/>
      <c r="G177" s="881"/>
      <c r="H177" s="1322"/>
      <c r="I177" s="1323"/>
      <c r="J177" s="1334"/>
      <c r="K177" s="1347"/>
      <c r="L177" s="1347"/>
      <c r="M177" s="1347"/>
      <c r="N177" s="1344"/>
      <c r="O177" s="1344"/>
      <c r="P177" s="789" t="s">
        <v>3753</v>
      </c>
      <c r="Q177" s="1422"/>
      <c r="R177" s="1429"/>
      <c r="S177" s="1347"/>
    </row>
    <row r="178" spans="1:19" ht="49.5">
      <c r="A178" s="1376"/>
      <c r="B178" s="1300"/>
      <c r="C178" s="879"/>
      <c r="D178" s="1345"/>
      <c r="E178" s="1345"/>
      <c r="F178" s="879"/>
      <c r="G178" s="879"/>
      <c r="H178" s="1324"/>
      <c r="I178" s="1325"/>
      <c r="J178" s="1335"/>
      <c r="K178" s="1400"/>
      <c r="L178" s="1400"/>
      <c r="M178" s="1400"/>
      <c r="N178" s="1345"/>
      <c r="O178" s="1345"/>
      <c r="P178" s="791" t="s">
        <v>3754</v>
      </c>
      <c r="Q178" s="1423"/>
      <c r="R178" s="1428"/>
      <c r="S178" s="1400"/>
    </row>
    <row r="179" spans="1:19" ht="24.75">
      <c r="A179" s="1338">
        <v>28</v>
      </c>
      <c r="B179" s="1299" t="s">
        <v>2462</v>
      </c>
      <c r="C179" s="878" t="s">
        <v>3755</v>
      </c>
      <c r="D179" s="1343" t="s">
        <v>3756</v>
      </c>
      <c r="E179" s="1343" t="s">
        <v>3757</v>
      </c>
      <c r="F179" s="878">
        <v>4</v>
      </c>
      <c r="G179" s="878">
        <v>2</v>
      </c>
      <c r="H179" s="1320" t="s">
        <v>3723</v>
      </c>
      <c r="I179" s="1321"/>
      <c r="J179" s="1333" t="s">
        <v>3758</v>
      </c>
      <c r="K179" s="878">
        <v>0</v>
      </c>
      <c r="L179" s="1346">
        <v>4</v>
      </c>
      <c r="M179" s="1346" t="s">
        <v>3759</v>
      </c>
      <c r="N179" s="1343" t="s">
        <v>3756</v>
      </c>
      <c r="O179" s="1343" t="s">
        <v>3757</v>
      </c>
      <c r="P179" s="392" t="s">
        <v>3760</v>
      </c>
      <c r="Q179" s="1417">
        <v>2020</v>
      </c>
      <c r="R179" s="790">
        <v>150</v>
      </c>
      <c r="S179" s="1346"/>
    </row>
    <row r="180" spans="1:19" ht="74.25">
      <c r="A180" s="1339"/>
      <c r="B180" s="1312"/>
      <c r="C180" s="881"/>
      <c r="D180" s="1344"/>
      <c r="E180" s="1344"/>
      <c r="F180" s="881"/>
      <c r="G180" s="881"/>
      <c r="H180" s="1322"/>
      <c r="I180" s="1323"/>
      <c r="J180" s="1334"/>
      <c r="K180" s="881"/>
      <c r="L180" s="1347"/>
      <c r="M180" s="1347"/>
      <c r="N180" s="1344"/>
      <c r="O180" s="1344"/>
      <c r="P180" s="791" t="s">
        <v>3658</v>
      </c>
      <c r="Q180" s="1422"/>
      <c r="R180" s="790"/>
      <c r="S180" s="1347"/>
    </row>
    <row r="181" spans="1:19" ht="24.75">
      <c r="A181" s="1376"/>
      <c r="B181" s="1300"/>
      <c r="C181" s="879"/>
      <c r="D181" s="1345"/>
      <c r="E181" s="1345"/>
      <c r="F181" s="879"/>
      <c r="G181" s="879"/>
      <c r="H181" s="1324"/>
      <c r="I181" s="1325"/>
      <c r="J181" s="1335"/>
      <c r="K181" s="879"/>
      <c r="L181" s="1400"/>
      <c r="M181" s="1400"/>
      <c r="N181" s="1345"/>
      <c r="O181" s="1345"/>
      <c r="P181" s="791" t="s">
        <v>3761</v>
      </c>
      <c r="Q181" s="1423"/>
      <c r="R181" s="790">
        <v>30</v>
      </c>
      <c r="S181" s="1400"/>
    </row>
    <row r="182" spans="1:19" ht="123.75">
      <c r="A182" s="1385">
        <v>29</v>
      </c>
      <c r="B182" s="1388">
        <v>737882</v>
      </c>
      <c r="C182" s="1361" t="s">
        <v>1378</v>
      </c>
      <c r="D182" s="1358" t="s">
        <v>1317</v>
      </c>
      <c r="E182" s="1358" t="s">
        <v>1379</v>
      </c>
      <c r="F182" s="1361">
        <v>5</v>
      </c>
      <c r="G182" s="1361">
        <v>2</v>
      </c>
      <c r="H182" s="1379" t="s">
        <v>3762</v>
      </c>
      <c r="I182" s="1380"/>
      <c r="J182" s="1392" t="s">
        <v>3763</v>
      </c>
      <c r="K182" s="1361">
        <v>0</v>
      </c>
      <c r="L182" s="1361">
        <v>7</v>
      </c>
      <c r="M182" s="1361" t="s">
        <v>3764</v>
      </c>
      <c r="N182" s="1358" t="s">
        <v>1317</v>
      </c>
      <c r="O182" s="1358" t="s">
        <v>1379</v>
      </c>
      <c r="P182" s="392" t="s">
        <v>3125</v>
      </c>
      <c r="Q182" s="734" t="s">
        <v>3664</v>
      </c>
      <c r="R182" s="792">
        <v>500</v>
      </c>
      <c r="S182" s="800"/>
    </row>
    <row r="183" spans="1:19" ht="247.5">
      <c r="A183" s="1386"/>
      <c r="B183" s="1388"/>
      <c r="C183" s="1361"/>
      <c r="D183" s="1359"/>
      <c r="E183" s="1359"/>
      <c r="F183" s="1361"/>
      <c r="G183" s="1361"/>
      <c r="H183" s="1381"/>
      <c r="I183" s="1382"/>
      <c r="J183" s="1392"/>
      <c r="K183" s="1361"/>
      <c r="L183" s="1361"/>
      <c r="M183" s="1361"/>
      <c r="N183" s="1359"/>
      <c r="O183" s="1359"/>
      <c r="P183" s="392" t="s">
        <v>1380</v>
      </c>
      <c r="Q183" s="734" t="s">
        <v>3664</v>
      </c>
      <c r="R183" s="792">
        <v>1000</v>
      </c>
      <c r="S183" s="800"/>
    </row>
    <row r="184" spans="1:19" ht="222.75">
      <c r="A184" s="1386"/>
      <c r="B184" s="1388"/>
      <c r="C184" s="1361"/>
      <c r="D184" s="1359"/>
      <c r="E184" s="1359"/>
      <c r="F184" s="1361"/>
      <c r="G184" s="1361"/>
      <c r="H184" s="1381"/>
      <c r="I184" s="1382"/>
      <c r="J184" s="1392"/>
      <c r="K184" s="1361"/>
      <c r="L184" s="1361"/>
      <c r="M184" s="1361"/>
      <c r="N184" s="1359"/>
      <c r="O184" s="1359"/>
      <c r="P184" s="392" t="s">
        <v>3126</v>
      </c>
      <c r="Q184" s="734" t="s">
        <v>3664</v>
      </c>
      <c r="R184" s="792">
        <v>200</v>
      </c>
      <c r="S184" s="800"/>
    </row>
    <row r="185" spans="1:19" ht="74.25">
      <c r="A185" s="1386"/>
      <c r="B185" s="1388"/>
      <c r="C185" s="1361"/>
      <c r="D185" s="1359"/>
      <c r="E185" s="1359"/>
      <c r="F185" s="1361"/>
      <c r="G185" s="1361"/>
      <c r="H185" s="1381"/>
      <c r="I185" s="1382"/>
      <c r="J185" s="1392"/>
      <c r="K185" s="1361"/>
      <c r="L185" s="1361"/>
      <c r="M185" s="1361"/>
      <c r="N185" s="1359"/>
      <c r="O185" s="1359"/>
      <c r="P185" s="392" t="s">
        <v>3127</v>
      </c>
      <c r="Q185" s="734" t="s">
        <v>3587</v>
      </c>
      <c r="R185" s="792">
        <v>100</v>
      </c>
      <c r="S185" s="800"/>
    </row>
    <row r="186" spans="1:19" ht="49.5">
      <c r="A186" s="1386"/>
      <c r="B186" s="1388"/>
      <c r="C186" s="1361"/>
      <c r="D186" s="1359"/>
      <c r="E186" s="1359"/>
      <c r="F186" s="1361"/>
      <c r="G186" s="1361"/>
      <c r="H186" s="1381"/>
      <c r="I186" s="1382"/>
      <c r="J186" s="1392"/>
      <c r="K186" s="1361"/>
      <c r="L186" s="1361"/>
      <c r="M186" s="1361"/>
      <c r="N186" s="1359"/>
      <c r="O186" s="1359"/>
      <c r="P186" s="392" t="s">
        <v>3128</v>
      </c>
      <c r="Q186" s="734" t="s">
        <v>3587</v>
      </c>
      <c r="R186" s="792">
        <v>15</v>
      </c>
      <c r="S186" s="800"/>
    </row>
    <row r="187" spans="1:19" ht="49.5">
      <c r="A187" s="1386"/>
      <c r="B187" s="1388"/>
      <c r="C187" s="1361"/>
      <c r="D187" s="1359"/>
      <c r="E187" s="1359"/>
      <c r="F187" s="1361"/>
      <c r="G187" s="1361"/>
      <c r="H187" s="1381"/>
      <c r="I187" s="1382"/>
      <c r="J187" s="1392"/>
      <c r="K187" s="1361"/>
      <c r="L187" s="1361"/>
      <c r="M187" s="1361"/>
      <c r="N187" s="1359"/>
      <c r="O187" s="1359"/>
      <c r="P187" s="392" t="s">
        <v>3091</v>
      </c>
      <c r="Q187" s="734" t="s">
        <v>3587</v>
      </c>
      <c r="R187" s="792">
        <v>14</v>
      </c>
      <c r="S187" s="800"/>
    </row>
    <row r="188" spans="1:19" ht="24.75">
      <c r="A188" s="1387"/>
      <c r="B188" s="1388"/>
      <c r="C188" s="1361"/>
      <c r="D188" s="1360"/>
      <c r="E188" s="1360"/>
      <c r="F188" s="1361"/>
      <c r="G188" s="1361"/>
      <c r="H188" s="1383"/>
      <c r="I188" s="1384"/>
      <c r="J188" s="1392"/>
      <c r="K188" s="1361"/>
      <c r="L188" s="1361"/>
      <c r="M188" s="1361"/>
      <c r="N188" s="1360"/>
      <c r="O188" s="1360"/>
      <c r="P188" s="392" t="s">
        <v>3129</v>
      </c>
      <c r="Q188" s="734" t="s">
        <v>3587</v>
      </c>
      <c r="R188" s="792">
        <v>36</v>
      </c>
      <c r="S188" s="800"/>
    </row>
    <row r="189" spans="1:19" ht="99">
      <c r="A189" s="1385">
        <v>30</v>
      </c>
      <c r="B189" s="1388">
        <v>736045</v>
      </c>
      <c r="C189" s="1361" t="s">
        <v>366</v>
      </c>
      <c r="D189" s="1358" t="s">
        <v>1381</v>
      </c>
      <c r="E189" s="1358" t="s">
        <v>1382</v>
      </c>
      <c r="F189" s="1361">
        <v>5</v>
      </c>
      <c r="G189" s="1361">
        <v>2</v>
      </c>
      <c r="H189" s="1379" t="s">
        <v>3765</v>
      </c>
      <c r="I189" s="1380"/>
      <c r="J189" s="1392" t="s">
        <v>3766</v>
      </c>
      <c r="K189" s="1361">
        <v>0</v>
      </c>
      <c r="L189" s="1361">
        <v>6</v>
      </c>
      <c r="M189" s="1361" t="s">
        <v>3767</v>
      </c>
      <c r="N189" s="1358" t="s">
        <v>1381</v>
      </c>
      <c r="O189" s="1358" t="s">
        <v>1382</v>
      </c>
      <c r="P189" s="392" t="s">
        <v>3135</v>
      </c>
      <c r="Q189" s="734" t="s">
        <v>3677</v>
      </c>
      <c r="R189" s="792">
        <v>7000</v>
      </c>
      <c r="S189" s="800"/>
    </row>
    <row r="190" spans="1:19" ht="74.25">
      <c r="A190" s="1386"/>
      <c r="B190" s="1388"/>
      <c r="C190" s="1361"/>
      <c r="D190" s="1359"/>
      <c r="E190" s="1359"/>
      <c r="F190" s="1361"/>
      <c r="G190" s="1361"/>
      <c r="H190" s="1381"/>
      <c r="I190" s="1382"/>
      <c r="J190" s="1392"/>
      <c r="K190" s="1361"/>
      <c r="L190" s="1361"/>
      <c r="M190" s="1361"/>
      <c r="N190" s="1359"/>
      <c r="O190" s="1359"/>
      <c r="P190" s="392" t="s">
        <v>1383</v>
      </c>
      <c r="Q190" s="734" t="s">
        <v>3663</v>
      </c>
      <c r="R190" s="792">
        <v>500</v>
      </c>
      <c r="S190" s="800"/>
    </row>
    <row r="191" spans="1:19" ht="49.5">
      <c r="A191" s="1386"/>
      <c r="B191" s="1388"/>
      <c r="C191" s="1361"/>
      <c r="D191" s="1359"/>
      <c r="E191" s="1359"/>
      <c r="F191" s="1361"/>
      <c r="G191" s="1361"/>
      <c r="H191" s="1381"/>
      <c r="I191" s="1382"/>
      <c r="J191" s="1392"/>
      <c r="K191" s="1361"/>
      <c r="L191" s="1361"/>
      <c r="M191" s="1361"/>
      <c r="N191" s="1359"/>
      <c r="O191" s="1359"/>
      <c r="P191" s="392" t="s">
        <v>3697</v>
      </c>
      <c r="Q191" s="734" t="s">
        <v>3587</v>
      </c>
      <c r="R191" s="792">
        <v>10</v>
      </c>
      <c r="S191" s="800"/>
    </row>
    <row r="192" spans="1:19" ht="24.75">
      <c r="A192" s="1386"/>
      <c r="B192" s="1388"/>
      <c r="C192" s="1361"/>
      <c r="D192" s="1359"/>
      <c r="E192" s="1359"/>
      <c r="F192" s="1361"/>
      <c r="G192" s="1361"/>
      <c r="H192" s="1381"/>
      <c r="I192" s="1382"/>
      <c r="J192" s="1392"/>
      <c r="K192" s="1361"/>
      <c r="L192" s="1361"/>
      <c r="M192" s="1361"/>
      <c r="N192" s="1359"/>
      <c r="O192" s="1359"/>
      <c r="P192" s="392" t="s">
        <v>3098</v>
      </c>
      <c r="Q192" s="734" t="s">
        <v>3587</v>
      </c>
      <c r="R192" s="792">
        <v>36</v>
      </c>
      <c r="S192" s="800"/>
    </row>
    <row r="193" spans="1:19" ht="49.5">
      <c r="A193" s="1387"/>
      <c r="B193" s="1388"/>
      <c r="C193" s="1361"/>
      <c r="D193" s="1360"/>
      <c r="E193" s="1360"/>
      <c r="F193" s="1361"/>
      <c r="G193" s="1361"/>
      <c r="H193" s="1383"/>
      <c r="I193" s="1384"/>
      <c r="J193" s="1392"/>
      <c r="K193" s="1361"/>
      <c r="L193" s="1361"/>
      <c r="M193" s="1361"/>
      <c r="N193" s="1360"/>
      <c r="O193" s="1360"/>
      <c r="P193" s="392" t="s">
        <v>3137</v>
      </c>
      <c r="Q193" s="734" t="s">
        <v>3587</v>
      </c>
      <c r="R193" s="792">
        <v>14</v>
      </c>
      <c r="S193" s="800"/>
    </row>
    <row r="194" spans="1:19" ht="74.25">
      <c r="A194" s="1385">
        <v>31</v>
      </c>
      <c r="B194" s="1388">
        <v>739006</v>
      </c>
      <c r="C194" s="1361" t="s">
        <v>1384</v>
      </c>
      <c r="D194" s="1358" t="s">
        <v>1354</v>
      </c>
      <c r="E194" s="1358" t="s">
        <v>1385</v>
      </c>
      <c r="F194" s="1361">
        <v>5</v>
      </c>
      <c r="G194" s="1361">
        <v>2</v>
      </c>
      <c r="H194" s="1379" t="s">
        <v>3765</v>
      </c>
      <c r="I194" s="1380"/>
      <c r="J194" s="1392" t="s">
        <v>3766</v>
      </c>
      <c r="K194" s="1361">
        <v>0</v>
      </c>
      <c r="L194" s="1361">
        <v>12</v>
      </c>
      <c r="M194" s="1361" t="s">
        <v>3768</v>
      </c>
      <c r="N194" s="1358" t="s">
        <v>1354</v>
      </c>
      <c r="O194" s="1358" t="s">
        <v>1385</v>
      </c>
      <c r="P194" s="392" t="s">
        <v>1457</v>
      </c>
      <c r="Q194" s="734" t="s">
        <v>3663</v>
      </c>
      <c r="R194" s="792">
        <v>500</v>
      </c>
      <c r="S194" s="800"/>
    </row>
    <row r="195" spans="1:19" ht="148.5">
      <c r="A195" s="1386"/>
      <c r="B195" s="1388"/>
      <c r="C195" s="1361"/>
      <c r="D195" s="1359"/>
      <c r="E195" s="1359"/>
      <c r="F195" s="1361"/>
      <c r="G195" s="1361"/>
      <c r="H195" s="1381"/>
      <c r="I195" s="1382"/>
      <c r="J195" s="1392"/>
      <c r="K195" s="1361"/>
      <c r="L195" s="1361"/>
      <c r="M195" s="1361"/>
      <c r="N195" s="1359"/>
      <c r="O195" s="1359"/>
      <c r="P195" s="392" t="s">
        <v>3138</v>
      </c>
      <c r="Q195" s="734" t="s">
        <v>3664</v>
      </c>
      <c r="R195" s="792">
        <v>500</v>
      </c>
      <c r="S195" s="800"/>
    </row>
    <row r="196" spans="1:19" ht="49.5">
      <c r="A196" s="1386"/>
      <c r="B196" s="1388"/>
      <c r="C196" s="1361"/>
      <c r="D196" s="1359"/>
      <c r="E196" s="1359"/>
      <c r="F196" s="1361"/>
      <c r="G196" s="1361"/>
      <c r="H196" s="1381"/>
      <c r="I196" s="1382"/>
      <c r="J196" s="1392"/>
      <c r="K196" s="1361"/>
      <c r="L196" s="1361"/>
      <c r="M196" s="1361"/>
      <c r="N196" s="1359"/>
      <c r="O196" s="1359"/>
      <c r="P196" s="392" t="s">
        <v>3697</v>
      </c>
      <c r="Q196" s="734" t="s">
        <v>3587</v>
      </c>
      <c r="R196" s="792">
        <v>10</v>
      </c>
      <c r="S196" s="800"/>
    </row>
    <row r="197" spans="1:19" ht="24.75">
      <c r="A197" s="1386"/>
      <c r="B197" s="1388"/>
      <c r="C197" s="1361"/>
      <c r="D197" s="1359"/>
      <c r="E197" s="1359"/>
      <c r="F197" s="1361"/>
      <c r="G197" s="1361"/>
      <c r="H197" s="1381"/>
      <c r="I197" s="1382"/>
      <c r="J197" s="1392"/>
      <c r="K197" s="1361"/>
      <c r="L197" s="1361"/>
      <c r="M197" s="1361"/>
      <c r="N197" s="1359"/>
      <c r="O197" s="1359"/>
      <c r="P197" s="392" t="s">
        <v>3098</v>
      </c>
      <c r="Q197" s="734" t="s">
        <v>3587</v>
      </c>
      <c r="R197" s="792">
        <v>36</v>
      </c>
      <c r="S197" s="773"/>
    </row>
    <row r="198" spans="1:19" ht="49.5">
      <c r="A198" s="1387"/>
      <c r="B198" s="1388"/>
      <c r="C198" s="1361"/>
      <c r="D198" s="1360"/>
      <c r="E198" s="1360"/>
      <c r="F198" s="1361"/>
      <c r="G198" s="1361"/>
      <c r="H198" s="1383"/>
      <c r="I198" s="1384"/>
      <c r="J198" s="1392"/>
      <c r="K198" s="1361"/>
      <c r="L198" s="1361"/>
      <c r="M198" s="1361"/>
      <c r="N198" s="1360"/>
      <c r="O198" s="1360"/>
      <c r="P198" s="392" t="s">
        <v>3137</v>
      </c>
      <c r="Q198" s="734" t="s">
        <v>3587</v>
      </c>
      <c r="R198" s="786">
        <v>14</v>
      </c>
      <c r="S198" s="773"/>
    </row>
    <row r="199" spans="1:19" ht="123.75">
      <c r="A199" s="1355">
        <v>32</v>
      </c>
      <c r="B199" s="1319">
        <v>738433</v>
      </c>
      <c r="C199" s="1319" t="s">
        <v>1386</v>
      </c>
      <c r="D199" s="1450" t="s">
        <v>1387</v>
      </c>
      <c r="E199" s="1452" t="s">
        <v>1388</v>
      </c>
      <c r="F199" s="1319">
        <v>4</v>
      </c>
      <c r="G199" s="1319">
        <v>2</v>
      </c>
      <c r="H199" s="1320" t="s">
        <v>3568</v>
      </c>
      <c r="I199" s="1321"/>
      <c r="J199" s="1337" t="s">
        <v>1389</v>
      </c>
      <c r="K199" s="1319">
        <v>0</v>
      </c>
      <c r="L199" s="1319">
        <v>5</v>
      </c>
      <c r="M199" s="1319" t="s">
        <v>3769</v>
      </c>
      <c r="N199" s="1450" t="s">
        <v>1387</v>
      </c>
      <c r="O199" s="1452" t="s">
        <v>1388</v>
      </c>
      <c r="P199" s="392" t="s">
        <v>3152</v>
      </c>
      <c r="Q199" s="734" t="s">
        <v>3587</v>
      </c>
      <c r="R199" s="792">
        <v>100</v>
      </c>
      <c r="S199" s="773"/>
    </row>
    <row r="200" spans="1:19" ht="24.75">
      <c r="A200" s="1357"/>
      <c r="B200" s="1319"/>
      <c r="C200" s="1319"/>
      <c r="D200" s="1451"/>
      <c r="E200" s="1452"/>
      <c r="F200" s="1319"/>
      <c r="G200" s="1319"/>
      <c r="H200" s="1324"/>
      <c r="I200" s="1325"/>
      <c r="J200" s="1337"/>
      <c r="K200" s="1319"/>
      <c r="L200" s="1319"/>
      <c r="M200" s="1319"/>
      <c r="N200" s="1451"/>
      <c r="O200" s="1452"/>
      <c r="P200" s="392" t="s">
        <v>3153</v>
      </c>
      <c r="Q200" s="734" t="s">
        <v>3663</v>
      </c>
      <c r="R200" s="786">
        <v>150</v>
      </c>
      <c r="S200" s="773"/>
    </row>
    <row r="201" spans="1:19" ht="99">
      <c r="A201" s="1355">
        <v>33</v>
      </c>
      <c r="B201" s="1319">
        <v>738433</v>
      </c>
      <c r="C201" s="1319" t="s">
        <v>1386</v>
      </c>
      <c r="D201" s="1326" t="s">
        <v>1390</v>
      </c>
      <c r="E201" s="1326" t="s">
        <v>1391</v>
      </c>
      <c r="F201" s="1319">
        <v>3</v>
      </c>
      <c r="G201" s="1319">
        <v>0</v>
      </c>
      <c r="H201" s="1320" t="s">
        <v>3533</v>
      </c>
      <c r="I201" s="1321"/>
      <c r="J201" s="1337" t="s">
        <v>1389</v>
      </c>
      <c r="K201" s="1319">
        <v>0</v>
      </c>
      <c r="L201" s="1319">
        <v>4</v>
      </c>
      <c r="M201" s="1336" t="s">
        <v>1410</v>
      </c>
      <c r="N201" s="1326" t="s">
        <v>1390</v>
      </c>
      <c r="O201" s="1326" t="s">
        <v>1391</v>
      </c>
      <c r="P201" s="392" t="s">
        <v>1392</v>
      </c>
      <c r="Q201" s="734" t="s">
        <v>3664</v>
      </c>
      <c r="R201" s="786">
        <v>500</v>
      </c>
      <c r="S201" s="773"/>
    </row>
    <row r="202" spans="1:19" ht="49.5">
      <c r="A202" s="1356"/>
      <c r="B202" s="1319"/>
      <c r="C202" s="1319"/>
      <c r="D202" s="1327"/>
      <c r="E202" s="1327"/>
      <c r="F202" s="1319"/>
      <c r="G202" s="1319"/>
      <c r="H202" s="1322"/>
      <c r="I202" s="1323"/>
      <c r="J202" s="1337"/>
      <c r="K202" s="1319"/>
      <c r="L202" s="1319"/>
      <c r="M202" s="1336"/>
      <c r="N202" s="1327"/>
      <c r="O202" s="1327"/>
      <c r="P202" s="392" t="s">
        <v>3154</v>
      </c>
      <c r="Q202" s="734" t="s">
        <v>3663</v>
      </c>
      <c r="R202" s="786">
        <v>500</v>
      </c>
      <c r="S202" s="773"/>
    </row>
    <row r="203" spans="1:19" ht="49.5">
      <c r="A203" s="1357"/>
      <c r="B203" s="1319"/>
      <c r="C203" s="1319"/>
      <c r="D203" s="1328"/>
      <c r="E203" s="1328"/>
      <c r="F203" s="1319"/>
      <c r="G203" s="1319"/>
      <c r="H203" s="1324"/>
      <c r="I203" s="1325"/>
      <c r="J203" s="1337"/>
      <c r="K203" s="1319"/>
      <c r="L203" s="1319"/>
      <c r="M203" s="1336"/>
      <c r="N203" s="1328"/>
      <c r="O203" s="1328"/>
      <c r="P203" s="392" t="s">
        <v>3155</v>
      </c>
      <c r="Q203" s="734" t="s">
        <v>3587</v>
      </c>
      <c r="R203" s="786">
        <v>10</v>
      </c>
      <c r="S203" s="773"/>
    </row>
    <row r="204" spans="1:19" ht="123.75">
      <c r="A204" s="1355">
        <v>34</v>
      </c>
      <c r="B204" s="1319">
        <v>739578</v>
      </c>
      <c r="C204" s="1319" t="s">
        <v>1394</v>
      </c>
      <c r="D204" s="1326" t="s">
        <v>1395</v>
      </c>
      <c r="E204" s="1326" t="s">
        <v>1395</v>
      </c>
      <c r="F204" s="1319">
        <v>5</v>
      </c>
      <c r="G204" s="1319">
        <v>2</v>
      </c>
      <c r="H204" s="1320" t="s">
        <v>3770</v>
      </c>
      <c r="I204" s="1321"/>
      <c r="J204" s="1337" t="s">
        <v>3771</v>
      </c>
      <c r="K204" s="1319">
        <v>0</v>
      </c>
      <c r="L204" s="1319">
        <v>4</v>
      </c>
      <c r="M204" s="1319" t="s">
        <v>3772</v>
      </c>
      <c r="N204" s="1326" t="s">
        <v>1395</v>
      </c>
      <c r="O204" s="1326" t="s">
        <v>1395</v>
      </c>
      <c r="P204" s="392" t="s">
        <v>1396</v>
      </c>
      <c r="Q204" s="734" t="s">
        <v>3664</v>
      </c>
      <c r="R204" s="786">
        <v>500</v>
      </c>
      <c r="S204" s="773"/>
    </row>
    <row r="205" spans="1:19" ht="74.25">
      <c r="A205" s="1356"/>
      <c r="B205" s="1319"/>
      <c r="C205" s="1319"/>
      <c r="D205" s="1327"/>
      <c r="E205" s="1327"/>
      <c r="F205" s="1319"/>
      <c r="G205" s="1319"/>
      <c r="H205" s="1322"/>
      <c r="I205" s="1323"/>
      <c r="J205" s="1337"/>
      <c r="K205" s="1319"/>
      <c r="L205" s="1319"/>
      <c r="M205" s="1319"/>
      <c r="N205" s="1327"/>
      <c r="O205" s="1327"/>
      <c r="P205" s="392" t="s">
        <v>3156</v>
      </c>
      <c r="Q205" s="734" t="s">
        <v>3677</v>
      </c>
      <c r="R205" s="786">
        <v>7000</v>
      </c>
      <c r="S205" s="773"/>
    </row>
    <row r="206" spans="1:19" ht="74.25">
      <c r="A206" s="1356"/>
      <c r="B206" s="1319"/>
      <c r="C206" s="1319"/>
      <c r="D206" s="1327"/>
      <c r="E206" s="1327"/>
      <c r="F206" s="1319"/>
      <c r="G206" s="1319"/>
      <c r="H206" s="1322"/>
      <c r="I206" s="1323"/>
      <c r="J206" s="1337"/>
      <c r="K206" s="1319"/>
      <c r="L206" s="1319"/>
      <c r="M206" s="1319"/>
      <c r="N206" s="1327"/>
      <c r="O206" s="1327"/>
      <c r="P206" s="392" t="s">
        <v>3157</v>
      </c>
      <c r="Q206" s="734" t="s">
        <v>3587</v>
      </c>
      <c r="R206" s="792">
        <v>100</v>
      </c>
      <c r="S206" s="773"/>
    </row>
    <row r="207" spans="1:19" ht="74.25">
      <c r="A207" s="1357"/>
      <c r="B207" s="1319"/>
      <c r="C207" s="1319"/>
      <c r="D207" s="1328"/>
      <c r="E207" s="1328"/>
      <c r="F207" s="1319"/>
      <c r="G207" s="1319"/>
      <c r="H207" s="1324"/>
      <c r="I207" s="1325"/>
      <c r="J207" s="1337"/>
      <c r="K207" s="1319"/>
      <c r="L207" s="1319"/>
      <c r="M207" s="1319"/>
      <c r="N207" s="1328"/>
      <c r="O207" s="1328"/>
      <c r="P207" s="392" t="s">
        <v>3158</v>
      </c>
      <c r="Q207" s="734" t="s">
        <v>3587</v>
      </c>
      <c r="R207" s="786">
        <v>14</v>
      </c>
      <c r="S207" s="773"/>
    </row>
    <row r="208" spans="1:19" ht="49.5">
      <c r="A208" s="1355">
        <v>35</v>
      </c>
      <c r="B208" s="1319">
        <v>740829</v>
      </c>
      <c r="C208" s="1319" t="s">
        <v>294</v>
      </c>
      <c r="D208" s="1326" t="s">
        <v>1397</v>
      </c>
      <c r="E208" s="1326" t="s">
        <v>1398</v>
      </c>
      <c r="F208" s="1319">
        <v>4</v>
      </c>
      <c r="G208" s="1319">
        <v>1</v>
      </c>
      <c r="H208" s="1320" t="s">
        <v>3773</v>
      </c>
      <c r="I208" s="1321"/>
      <c r="J208" s="1337" t="s">
        <v>3774</v>
      </c>
      <c r="K208" s="1319">
        <v>0</v>
      </c>
      <c r="L208" s="1319">
        <v>4</v>
      </c>
      <c r="M208" s="1319" t="s">
        <v>3775</v>
      </c>
      <c r="N208" s="1326" t="s">
        <v>1397</v>
      </c>
      <c r="O208" s="1326" t="s">
        <v>1398</v>
      </c>
      <c r="P208" s="392" t="s">
        <v>3163</v>
      </c>
      <c r="Q208" s="734" t="s">
        <v>3587</v>
      </c>
      <c r="R208" s="786">
        <v>50</v>
      </c>
      <c r="S208" s="773"/>
    </row>
    <row r="209" spans="1:19" ht="74.25">
      <c r="A209" s="1356"/>
      <c r="B209" s="1319"/>
      <c r="C209" s="1319"/>
      <c r="D209" s="1327"/>
      <c r="E209" s="1327"/>
      <c r="F209" s="1319"/>
      <c r="G209" s="1319"/>
      <c r="H209" s="1322"/>
      <c r="I209" s="1323"/>
      <c r="J209" s="1337"/>
      <c r="K209" s="1319"/>
      <c r="L209" s="1319"/>
      <c r="M209" s="1319"/>
      <c r="N209" s="1327"/>
      <c r="O209" s="1327"/>
      <c r="P209" s="392" t="s">
        <v>1399</v>
      </c>
      <c r="Q209" s="734" t="s">
        <v>3587</v>
      </c>
      <c r="R209" s="786">
        <v>200</v>
      </c>
      <c r="S209" s="773"/>
    </row>
    <row r="210" spans="1:19" ht="49.5">
      <c r="A210" s="1356"/>
      <c r="B210" s="1319"/>
      <c r="C210" s="1319"/>
      <c r="D210" s="1327"/>
      <c r="E210" s="1327"/>
      <c r="F210" s="1319"/>
      <c r="G210" s="1319"/>
      <c r="H210" s="1322"/>
      <c r="I210" s="1323"/>
      <c r="J210" s="1337"/>
      <c r="K210" s="1319"/>
      <c r="L210" s="1319"/>
      <c r="M210" s="1319"/>
      <c r="N210" s="1327"/>
      <c r="O210" s="1327"/>
      <c r="P210" s="392" t="s">
        <v>1400</v>
      </c>
      <c r="Q210" s="734" t="s">
        <v>3587</v>
      </c>
      <c r="R210" s="786">
        <v>200</v>
      </c>
      <c r="S210" s="773"/>
    </row>
    <row r="211" spans="1:19" ht="49.5">
      <c r="A211" s="1357"/>
      <c r="B211" s="1319"/>
      <c r="C211" s="1319"/>
      <c r="D211" s="1328"/>
      <c r="E211" s="1328"/>
      <c r="F211" s="1319"/>
      <c r="G211" s="1319"/>
      <c r="H211" s="1324"/>
      <c r="I211" s="1325"/>
      <c r="J211" s="1337"/>
      <c r="K211" s="1319"/>
      <c r="L211" s="1319"/>
      <c r="M211" s="1319"/>
      <c r="N211" s="1328"/>
      <c r="O211" s="1328"/>
      <c r="P211" s="392" t="s">
        <v>3182</v>
      </c>
      <c r="Q211" s="734" t="s">
        <v>3587</v>
      </c>
      <c r="R211" s="792">
        <v>100</v>
      </c>
      <c r="S211" s="773"/>
    </row>
    <row r="212" spans="1:19" ht="173.25">
      <c r="A212" s="1355">
        <v>36</v>
      </c>
      <c r="B212" s="1319">
        <v>739444</v>
      </c>
      <c r="C212" s="1319" t="s">
        <v>1371</v>
      </c>
      <c r="D212" s="1326" t="s">
        <v>1402</v>
      </c>
      <c r="E212" s="1326" t="s">
        <v>1403</v>
      </c>
      <c r="F212" s="1319">
        <v>6</v>
      </c>
      <c r="G212" s="1319">
        <v>2</v>
      </c>
      <c r="H212" s="1320" t="s">
        <v>3776</v>
      </c>
      <c r="I212" s="1321"/>
      <c r="J212" s="1337" t="s">
        <v>3777</v>
      </c>
      <c r="K212" s="1319">
        <v>1</v>
      </c>
      <c r="L212" s="1319">
        <v>7</v>
      </c>
      <c r="M212" s="1319" t="s">
        <v>3778</v>
      </c>
      <c r="N212" s="1326" t="s">
        <v>1402</v>
      </c>
      <c r="O212" s="1326" t="s">
        <v>1403</v>
      </c>
      <c r="P212" s="392" t="s">
        <v>3196</v>
      </c>
      <c r="Q212" s="734" t="s">
        <v>3664</v>
      </c>
      <c r="R212" s="786">
        <v>500</v>
      </c>
      <c r="S212" s="773"/>
    </row>
    <row r="213" spans="1:19" ht="74.25">
      <c r="A213" s="1356"/>
      <c r="B213" s="1319"/>
      <c r="C213" s="1319"/>
      <c r="D213" s="1327"/>
      <c r="E213" s="1327"/>
      <c r="F213" s="1319"/>
      <c r="G213" s="1319"/>
      <c r="H213" s="1322"/>
      <c r="I213" s="1323"/>
      <c r="J213" s="1337"/>
      <c r="K213" s="1319"/>
      <c r="L213" s="1319"/>
      <c r="M213" s="1319"/>
      <c r="N213" s="1327"/>
      <c r="O213" s="1327"/>
      <c r="P213" s="392" t="s">
        <v>3197</v>
      </c>
      <c r="Q213" s="734" t="s">
        <v>3587</v>
      </c>
      <c r="R213" s="786">
        <v>14</v>
      </c>
      <c r="S213" s="773"/>
    </row>
    <row r="214" spans="1:19" ht="49.5">
      <c r="A214" s="1356"/>
      <c r="B214" s="1319"/>
      <c r="C214" s="1319"/>
      <c r="D214" s="1327"/>
      <c r="E214" s="1327"/>
      <c r="F214" s="1319"/>
      <c r="G214" s="1319"/>
      <c r="H214" s="1322"/>
      <c r="I214" s="1323"/>
      <c r="J214" s="1337"/>
      <c r="K214" s="1319"/>
      <c r="L214" s="1319"/>
      <c r="M214" s="1319"/>
      <c r="N214" s="1327"/>
      <c r="O214" s="1327"/>
      <c r="P214" s="392" t="s">
        <v>3198</v>
      </c>
      <c r="Q214" s="734" t="s">
        <v>3587</v>
      </c>
      <c r="R214" s="792">
        <v>36</v>
      </c>
      <c r="S214" s="773"/>
    </row>
    <row r="215" spans="1:19" ht="49.5">
      <c r="A215" s="1357"/>
      <c r="B215" s="1319"/>
      <c r="C215" s="1319"/>
      <c r="D215" s="1328"/>
      <c r="E215" s="1328"/>
      <c r="F215" s="1319"/>
      <c r="G215" s="1319"/>
      <c r="H215" s="1324"/>
      <c r="I215" s="1325"/>
      <c r="J215" s="1337"/>
      <c r="K215" s="1319"/>
      <c r="L215" s="1319"/>
      <c r="M215" s="1319"/>
      <c r="N215" s="1328"/>
      <c r="O215" s="1328"/>
      <c r="P215" s="392" t="s">
        <v>3199</v>
      </c>
      <c r="Q215" s="734" t="s">
        <v>3587</v>
      </c>
      <c r="R215" s="792">
        <v>100</v>
      </c>
      <c r="S215" s="773"/>
    </row>
    <row r="216" spans="1:19" ht="123.75">
      <c r="A216" s="1355">
        <v>37</v>
      </c>
      <c r="B216" s="1319">
        <v>739444</v>
      </c>
      <c r="C216" s="1319" t="s">
        <v>1371</v>
      </c>
      <c r="D216" s="1326" t="s">
        <v>1404</v>
      </c>
      <c r="E216" s="1326" t="s">
        <v>1404</v>
      </c>
      <c r="F216" s="1319">
        <v>7</v>
      </c>
      <c r="G216" s="1319">
        <v>3</v>
      </c>
      <c r="H216" s="1320" t="s">
        <v>3779</v>
      </c>
      <c r="I216" s="1321"/>
      <c r="J216" s="1337" t="s">
        <v>1405</v>
      </c>
      <c r="K216" s="1319">
        <v>0</v>
      </c>
      <c r="L216" s="1319">
        <v>7</v>
      </c>
      <c r="M216" s="1336" t="s">
        <v>3780</v>
      </c>
      <c r="N216" s="1326" t="s">
        <v>1404</v>
      </c>
      <c r="O216" s="1326" t="s">
        <v>1404</v>
      </c>
      <c r="P216" s="392" t="s">
        <v>3200</v>
      </c>
      <c r="Q216" s="734" t="s">
        <v>3587</v>
      </c>
      <c r="R216" s="786">
        <v>100</v>
      </c>
      <c r="S216" s="773"/>
    </row>
    <row r="217" spans="1:19" ht="123.75">
      <c r="A217" s="1356"/>
      <c r="B217" s="1319"/>
      <c r="C217" s="1319"/>
      <c r="D217" s="1327"/>
      <c r="E217" s="1327"/>
      <c r="F217" s="1319"/>
      <c r="G217" s="1319"/>
      <c r="H217" s="1322"/>
      <c r="I217" s="1323"/>
      <c r="J217" s="1337"/>
      <c r="K217" s="1319"/>
      <c r="L217" s="1319"/>
      <c r="M217" s="1336"/>
      <c r="N217" s="1327"/>
      <c r="O217" s="1327"/>
      <c r="P217" s="392" t="s">
        <v>3781</v>
      </c>
      <c r="Q217" s="734" t="s">
        <v>3664</v>
      </c>
      <c r="R217" s="786">
        <v>500</v>
      </c>
      <c r="S217" s="773"/>
    </row>
    <row r="218" spans="1:19" ht="74.25">
      <c r="A218" s="1356"/>
      <c r="B218" s="1319"/>
      <c r="C218" s="1319"/>
      <c r="D218" s="1327"/>
      <c r="E218" s="1327"/>
      <c r="F218" s="1319"/>
      <c r="G218" s="1319"/>
      <c r="H218" s="1322"/>
      <c r="I218" s="1323"/>
      <c r="J218" s="1337"/>
      <c r="K218" s="1319"/>
      <c r="L218" s="1319"/>
      <c r="M218" s="1336"/>
      <c r="N218" s="1327"/>
      <c r="O218" s="1327"/>
      <c r="P218" s="392" t="s">
        <v>3201</v>
      </c>
      <c r="Q218" s="734" t="s">
        <v>3587</v>
      </c>
      <c r="R218" s="792">
        <v>100</v>
      </c>
      <c r="S218" s="773"/>
    </row>
    <row r="219" spans="1:19" ht="49.5">
      <c r="A219" s="1356"/>
      <c r="B219" s="1319"/>
      <c r="C219" s="1319"/>
      <c r="D219" s="1327"/>
      <c r="E219" s="1327"/>
      <c r="F219" s="1319"/>
      <c r="G219" s="1319"/>
      <c r="H219" s="1322"/>
      <c r="I219" s="1323"/>
      <c r="J219" s="1337"/>
      <c r="K219" s="1319"/>
      <c r="L219" s="1319"/>
      <c r="M219" s="1336"/>
      <c r="N219" s="1327"/>
      <c r="O219" s="1327"/>
      <c r="P219" s="392" t="s">
        <v>3202</v>
      </c>
      <c r="Q219" s="734" t="s">
        <v>3587</v>
      </c>
      <c r="R219" s="786">
        <v>14</v>
      </c>
      <c r="S219" s="773"/>
    </row>
    <row r="220" spans="1:19" ht="123.75">
      <c r="A220" s="1356"/>
      <c r="B220" s="1319"/>
      <c r="C220" s="1319"/>
      <c r="D220" s="1327"/>
      <c r="E220" s="1327"/>
      <c r="F220" s="1319"/>
      <c r="G220" s="1319"/>
      <c r="H220" s="1322"/>
      <c r="I220" s="1323"/>
      <c r="J220" s="1337"/>
      <c r="K220" s="1319"/>
      <c r="L220" s="1319"/>
      <c r="M220" s="1336"/>
      <c r="N220" s="1327"/>
      <c r="O220" s="1327"/>
      <c r="P220" s="392" t="s">
        <v>3782</v>
      </c>
      <c r="Q220" s="734" t="s">
        <v>3677</v>
      </c>
      <c r="R220" s="786">
        <v>4000</v>
      </c>
      <c r="S220" s="773"/>
    </row>
    <row r="221" spans="1:19" ht="148.5">
      <c r="A221" s="1355">
        <v>38</v>
      </c>
      <c r="B221" s="1319">
        <v>745038</v>
      </c>
      <c r="C221" s="1319" t="s">
        <v>1406</v>
      </c>
      <c r="D221" s="1326" t="s">
        <v>1407</v>
      </c>
      <c r="E221" s="1326" t="s">
        <v>1408</v>
      </c>
      <c r="F221" s="1319">
        <v>3</v>
      </c>
      <c r="G221" s="1319">
        <v>2</v>
      </c>
      <c r="H221" s="1320" t="s">
        <v>3533</v>
      </c>
      <c r="I221" s="1321"/>
      <c r="J221" s="1337" t="s">
        <v>3783</v>
      </c>
      <c r="K221" s="1319">
        <v>0</v>
      </c>
      <c r="L221" s="1319">
        <v>4</v>
      </c>
      <c r="M221" s="1336" t="s">
        <v>3784</v>
      </c>
      <c r="N221" s="1326" t="s">
        <v>1407</v>
      </c>
      <c r="O221" s="1326" t="s">
        <v>1408</v>
      </c>
      <c r="P221" s="392" t="s">
        <v>1409</v>
      </c>
      <c r="Q221" s="734" t="s">
        <v>3664</v>
      </c>
      <c r="R221" s="786">
        <v>500</v>
      </c>
      <c r="S221" s="773"/>
    </row>
    <row r="222" spans="1:19" ht="99">
      <c r="A222" s="1356"/>
      <c r="B222" s="1319"/>
      <c r="C222" s="1319"/>
      <c r="D222" s="1327"/>
      <c r="E222" s="1327"/>
      <c r="F222" s="1319"/>
      <c r="G222" s="1319"/>
      <c r="H222" s="1322"/>
      <c r="I222" s="1323"/>
      <c r="J222" s="1337"/>
      <c r="K222" s="1319"/>
      <c r="L222" s="1319"/>
      <c r="M222" s="1336"/>
      <c r="N222" s="1327"/>
      <c r="O222" s="1327"/>
      <c r="P222" s="392" t="s">
        <v>3203</v>
      </c>
      <c r="Q222" s="734" t="s">
        <v>3587</v>
      </c>
      <c r="R222" s="786">
        <v>21</v>
      </c>
      <c r="S222" s="773"/>
    </row>
    <row r="223" spans="1:19" ht="74.25">
      <c r="A223" s="1356"/>
      <c r="B223" s="1319"/>
      <c r="C223" s="1319"/>
      <c r="D223" s="1327"/>
      <c r="E223" s="1327"/>
      <c r="F223" s="1319"/>
      <c r="G223" s="1319"/>
      <c r="H223" s="1322"/>
      <c r="I223" s="1323"/>
      <c r="J223" s="1337"/>
      <c r="K223" s="1319"/>
      <c r="L223" s="1319"/>
      <c r="M223" s="1336"/>
      <c r="N223" s="1327"/>
      <c r="O223" s="1327"/>
      <c r="P223" s="392" t="s">
        <v>3204</v>
      </c>
      <c r="Q223" s="734" t="s">
        <v>3587</v>
      </c>
      <c r="R223" s="792">
        <v>100</v>
      </c>
      <c r="S223" s="773"/>
    </row>
    <row r="224" spans="1:19" ht="99">
      <c r="A224" s="1357"/>
      <c r="B224" s="1319"/>
      <c r="C224" s="1319"/>
      <c r="D224" s="1328"/>
      <c r="E224" s="1328"/>
      <c r="F224" s="1319"/>
      <c r="G224" s="1319"/>
      <c r="H224" s="1324"/>
      <c r="I224" s="1325"/>
      <c r="J224" s="1337"/>
      <c r="K224" s="1319"/>
      <c r="L224" s="1319"/>
      <c r="M224" s="1336"/>
      <c r="N224" s="1328"/>
      <c r="O224" s="1328"/>
      <c r="P224" s="392" t="s">
        <v>3205</v>
      </c>
      <c r="Q224" s="734" t="s">
        <v>3677</v>
      </c>
      <c r="R224" s="786">
        <v>7000</v>
      </c>
      <c r="S224" s="773"/>
    </row>
    <row r="225" spans="1:19" ht="173.25">
      <c r="A225" s="1355">
        <v>39</v>
      </c>
      <c r="B225" s="1319">
        <v>745038</v>
      </c>
      <c r="C225" s="1319" t="s">
        <v>1406</v>
      </c>
      <c r="D225" s="1326" t="s">
        <v>3206</v>
      </c>
      <c r="E225" s="1326" t="s">
        <v>3785</v>
      </c>
      <c r="F225" s="1319">
        <v>3</v>
      </c>
      <c r="G225" s="1319">
        <v>2</v>
      </c>
      <c r="H225" s="1320" t="s">
        <v>3640</v>
      </c>
      <c r="I225" s="1321"/>
      <c r="J225" s="1337" t="s">
        <v>3786</v>
      </c>
      <c r="K225" s="1319">
        <v>0</v>
      </c>
      <c r="L225" s="1319">
        <v>3</v>
      </c>
      <c r="M225" s="1336" t="s">
        <v>3787</v>
      </c>
      <c r="N225" s="1326" t="s">
        <v>3206</v>
      </c>
      <c r="O225" s="1326" t="s">
        <v>3785</v>
      </c>
      <c r="P225" s="392" t="s">
        <v>3207</v>
      </c>
      <c r="Q225" s="734" t="s">
        <v>3664</v>
      </c>
      <c r="R225" s="786">
        <v>500</v>
      </c>
      <c r="S225" s="773"/>
    </row>
    <row r="226" spans="1:19" ht="49.5">
      <c r="A226" s="1356"/>
      <c r="B226" s="1319"/>
      <c r="C226" s="1319"/>
      <c r="D226" s="1327"/>
      <c r="E226" s="1327"/>
      <c r="F226" s="1319"/>
      <c r="G226" s="1319"/>
      <c r="H226" s="1322"/>
      <c r="I226" s="1323"/>
      <c r="J226" s="1337"/>
      <c r="K226" s="1319"/>
      <c r="L226" s="1319"/>
      <c r="M226" s="1336"/>
      <c r="N226" s="1327"/>
      <c r="O226" s="1327"/>
      <c r="P226" s="392" t="s">
        <v>3208</v>
      </c>
      <c r="Q226" s="734" t="s">
        <v>3587</v>
      </c>
      <c r="R226" s="792">
        <v>100</v>
      </c>
      <c r="S226" s="773"/>
    </row>
    <row r="227" spans="1:19" ht="49.5">
      <c r="A227" s="1356"/>
      <c r="B227" s="1319"/>
      <c r="C227" s="1319"/>
      <c r="D227" s="1327"/>
      <c r="E227" s="1327"/>
      <c r="F227" s="1319"/>
      <c r="G227" s="1319"/>
      <c r="H227" s="1322"/>
      <c r="I227" s="1323"/>
      <c r="J227" s="1337"/>
      <c r="K227" s="1319"/>
      <c r="L227" s="1319"/>
      <c r="M227" s="1336"/>
      <c r="N227" s="1327"/>
      <c r="O227" s="1327"/>
      <c r="P227" s="392" t="s">
        <v>3209</v>
      </c>
      <c r="Q227" s="734" t="s">
        <v>3587</v>
      </c>
      <c r="R227" s="792">
        <v>100</v>
      </c>
      <c r="S227" s="773"/>
    </row>
    <row r="228" spans="1:19" ht="99">
      <c r="A228" s="1356"/>
      <c r="B228" s="1319"/>
      <c r="C228" s="1319"/>
      <c r="D228" s="1327"/>
      <c r="E228" s="1327"/>
      <c r="F228" s="1319"/>
      <c r="G228" s="1319"/>
      <c r="H228" s="1322"/>
      <c r="I228" s="1323"/>
      <c r="J228" s="1337"/>
      <c r="K228" s="1319"/>
      <c r="L228" s="1319"/>
      <c r="M228" s="1336"/>
      <c r="N228" s="1327"/>
      <c r="O228" s="1327"/>
      <c r="P228" s="392" t="s">
        <v>3210</v>
      </c>
      <c r="Q228" s="734" t="s">
        <v>3677</v>
      </c>
      <c r="R228" s="786">
        <v>7000</v>
      </c>
      <c r="S228" s="773"/>
    </row>
    <row r="229" spans="1:19" ht="24.75">
      <c r="A229" s="1356"/>
      <c r="B229" s="1319"/>
      <c r="C229" s="1319"/>
      <c r="D229" s="1327"/>
      <c r="E229" s="1327"/>
      <c r="F229" s="1319"/>
      <c r="G229" s="1319"/>
      <c r="H229" s="1322"/>
      <c r="I229" s="1323"/>
      <c r="J229" s="1337"/>
      <c r="K229" s="1319"/>
      <c r="L229" s="1319"/>
      <c r="M229" s="1336"/>
      <c r="N229" s="1327"/>
      <c r="O229" s="1327"/>
      <c r="P229" s="392" t="s">
        <v>3118</v>
      </c>
      <c r="Q229" s="734" t="s">
        <v>3587</v>
      </c>
      <c r="R229" s="792">
        <v>36</v>
      </c>
      <c r="S229" s="773"/>
    </row>
    <row r="230" spans="1:19" ht="49.5">
      <c r="A230" s="1356"/>
      <c r="B230" s="1319"/>
      <c r="C230" s="1319"/>
      <c r="D230" s="1327"/>
      <c r="E230" s="1327"/>
      <c r="F230" s="1319"/>
      <c r="G230" s="1319"/>
      <c r="H230" s="1322"/>
      <c r="I230" s="1323"/>
      <c r="J230" s="1337"/>
      <c r="K230" s="1319"/>
      <c r="L230" s="1319"/>
      <c r="M230" s="1336"/>
      <c r="N230" s="1327"/>
      <c r="O230" s="1327"/>
      <c r="P230" s="392" t="s">
        <v>3788</v>
      </c>
      <c r="Q230" s="734" t="s">
        <v>3587</v>
      </c>
      <c r="R230" s="786">
        <v>10</v>
      </c>
      <c r="S230" s="773"/>
    </row>
    <row r="231" spans="1:19" ht="49.5">
      <c r="A231" s="1357"/>
      <c r="B231" s="1319"/>
      <c r="C231" s="1319"/>
      <c r="D231" s="1328"/>
      <c r="E231" s="1328"/>
      <c r="F231" s="1319"/>
      <c r="G231" s="1319"/>
      <c r="H231" s="1324"/>
      <c r="I231" s="1325"/>
      <c r="J231" s="1337"/>
      <c r="K231" s="1319"/>
      <c r="L231" s="1319"/>
      <c r="M231" s="1336"/>
      <c r="N231" s="1328"/>
      <c r="O231" s="1328"/>
      <c r="P231" s="392" t="s">
        <v>3789</v>
      </c>
      <c r="Q231" s="734" t="s">
        <v>3587</v>
      </c>
      <c r="R231" s="786">
        <v>14</v>
      </c>
      <c r="S231" s="773"/>
    </row>
    <row r="232" spans="1:19" ht="49.5">
      <c r="A232" s="1338">
        <v>40</v>
      </c>
      <c r="B232" s="1299">
        <v>745038</v>
      </c>
      <c r="C232" s="878" t="s">
        <v>3790</v>
      </c>
      <c r="D232" s="1343" t="s">
        <v>3791</v>
      </c>
      <c r="E232" s="1343" t="s">
        <v>3792</v>
      </c>
      <c r="F232" s="878">
        <v>5</v>
      </c>
      <c r="G232" s="878">
        <v>2</v>
      </c>
      <c r="H232" s="1320" t="s">
        <v>3793</v>
      </c>
      <c r="I232" s="1321"/>
      <c r="J232" s="1333" t="s">
        <v>3794</v>
      </c>
      <c r="K232" s="1346">
        <v>0</v>
      </c>
      <c r="L232" s="1346">
        <v>5</v>
      </c>
      <c r="M232" s="1346" t="s">
        <v>3795</v>
      </c>
      <c r="N232" s="1343" t="s">
        <v>3791</v>
      </c>
      <c r="O232" s="1343" t="s">
        <v>3792</v>
      </c>
      <c r="P232" s="392" t="s">
        <v>3796</v>
      </c>
      <c r="Q232" s="1417">
        <v>2020</v>
      </c>
      <c r="R232" s="790">
        <v>300</v>
      </c>
      <c r="S232" s="1346"/>
    </row>
    <row r="233" spans="1:19" ht="24.75">
      <c r="A233" s="1339"/>
      <c r="B233" s="1312"/>
      <c r="C233" s="881"/>
      <c r="D233" s="1344"/>
      <c r="E233" s="1344"/>
      <c r="F233" s="881"/>
      <c r="G233" s="881"/>
      <c r="H233" s="1322"/>
      <c r="I233" s="1323"/>
      <c r="J233" s="1334"/>
      <c r="K233" s="1347"/>
      <c r="L233" s="1347"/>
      <c r="M233" s="1347"/>
      <c r="N233" s="1344"/>
      <c r="O233" s="1344"/>
      <c r="P233" s="392" t="s">
        <v>3103</v>
      </c>
      <c r="Q233" s="1422"/>
      <c r="R233" s="790">
        <v>150</v>
      </c>
      <c r="S233" s="1347"/>
    </row>
    <row r="234" spans="1:19" ht="49.5">
      <c r="A234" s="1339"/>
      <c r="B234" s="1312"/>
      <c r="C234" s="879"/>
      <c r="D234" s="1344"/>
      <c r="E234" s="1344"/>
      <c r="F234" s="881"/>
      <c r="G234" s="881"/>
      <c r="H234" s="1324"/>
      <c r="I234" s="1325"/>
      <c r="J234" s="1335"/>
      <c r="K234" s="1347"/>
      <c r="L234" s="1347"/>
      <c r="M234" s="1347"/>
      <c r="N234" s="1344"/>
      <c r="O234" s="1344"/>
      <c r="P234" s="789" t="s">
        <v>3797</v>
      </c>
      <c r="Q234" s="1423"/>
      <c r="R234" s="790"/>
      <c r="S234" s="1400"/>
    </row>
    <row r="235" spans="1:19" ht="49.5">
      <c r="A235" s="1355">
        <v>41</v>
      </c>
      <c r="B235" s="1319">
        <v>736036</v>
      </c>
      <c r="C235" s="1319" t="s">
        <v>1411</v>
      </c>
      <c r="D235" s="1326" t="s">
        <v>1412</v>
      </c>
      <c r="E235" s="1326" t="s">
        <v>1413</v>
      </c>
      <c r="F235" s="1319">
        <v>4</v>
      </c>
      <c r="G235" s="1319">
        <v>1</v>
      </c>
      <c r="H235" s="1320" t="s">
        <v>3568</v>
      </c>
      <c r="I235" s="1321"/>
      <c r="J235" s="1337" t="s">
        <v>1414</v>
      </c>
      <c r="K235" s="1319">
        <v>0</v>
      </c>
      <c r="L235" s="1319">
        <v>5</v>
      </c>
      <c r="M235" s="1336" t="s">
        <v>3798</v>
      </c>
      <c r="N235" s="1326" t="s">
        <v>1412</v>
      </c>
      <c r="O235" s="1326" t="s">
        <v>1413</v>
      </c>
      <c r="P235" s="392" t="s">
        <v>3212</v>
      </c>
      <c r="Q235" s="734" t="s">
        <v>3587</v>
      </c>
      <c r="R235" s="786">
        <v>20</v>
      </c>
      <c r="S235" s="773"/>
    </row>
    <row r="236" spans="1:19" ht="74.25">
      <c r="A236" s="1356"/>
      <c r="B236" s="1319"/>
      <c r="C236" s="1319"/>
      <c r="D236" s="1327"/>
      <c r="E236" s="1327"/>
      <c r="F236" s="1319"/>
      <c r="G236" s="1319"/>
      <c r="H236" s="1322"/>
      <c r="I236" s="1323"/>
      <c r="J236" s="1337"/>
      <c r="K236" s="1319"/>
      <c r="L236" s="1319"/>
      <c r="M236" s="1336"/>
      <c r="N236" s="1327"/>
      <c r="O236" s="1327"/>
      <c r="P236" s="392" t="s">
        <v>3213</v>
      </c>
      <c r="Q236" s="734" t="s">
        <v>3587</v>
      </c>
      <c r="R236" s="792">
        <v>100</v>
      </c>
      <c r="S236" s="773"/>
    </row>
    <row r="237" spans="1:19" ht="74.25">
      <c r="A237" s="1356"/>
      <c r="B237" s="1319"/>
      <c r="C237" s="1319"/>
      <c r="D237" s="1327"/>
      <c r="E237" s="1327"/>
      <c r="F237" s="1319"/>
      <c r="G237" s="1319"/>
      <c r="H237" s="1322"/>
      <c r="I237" s="1323"/>
      <c r="J237" s="1337"/>
      <c r="K237" s="1319"/>
      <c r="L237" s="1319"/>
      <c r="M237" s="1336"/>
      <c r="N237" s="1327"/>
      <c r="O237" s="1327"/>
      <c r="P237" s="392" t="s">
        <v>3214</v>
      </c>
      <c r="Q237" s="734" t="s">
        <v>3677</v>
      </c>
      <c r="R237" s="786">
        <v>7000</v>
      </c>
      <c r="S237" s="773"/>
    </row>
    <row r="238" spans="1:19" ht="99">
      <c r="A238" s="1357"/>
      <c r="B238" s="1319"/>
      <c r="C238" s="1319"/>
      <c r="D238" s="1328"/>
      <c r="E238" s="1328"/>
      <c r="F238" s="1319"/>
      <c r="G238" s="1319"/>
      <c r="H238" s="1324"/>
      <c r="I238" s="1325"/>
      <c r="J238" s="1337"/>
      <c r="K238" s="1319"/>
      <c r="L238" s="1319"/>
      <c r="M238" s="1336"/>
      <c r="N238" s="1328"/>
      <c r="O238" s="1328"/>
      <c r="P238" s="392" t="s">
        <v>3215</v>
      </c>
      <c r="Q238" s="734" t="s">
        <v>3664</v>
      </c>
      <c r="R238" s="786">
        <v>500</v>
      </c>
      <c r="S238" s="773"/>
    </row>
    <row r="239" spans="1:19" ht="74.25">
      <c r="A239" s="1355">
        <v>42</v>
      </c>
      <c r="B239" s="1319">
        <v>737302</v>
      </c>
      <c r="C239" s="1319" t="s">
        <v>3216</v>
      </c>
      <c r="D239" s="1326" t="s">
        <v>3799</v>
      </c>
      <c r="E239" s="1326" t="s">
        <v>3799</v>
      </c>
      <c r="F239" s="1319">
        <v>6</v>
      </c>
      <c r="G239" s="1319">
        <v>1</v>
      </c>
      <c r="H239" s="1320" t="s">
        <v>3800</v>
      </c>
      <c r="I239" s="1321"/>
      <c r="J239" s="1337" t="s">
        <v>3801</v>
      </c>
      <c r="K239" s="1319">
        <v>0</v>
      </c>
      <c r="L239" s="1319">
        <v>6</v>
      </c>
      <c r="M239" s="1336" t="s">
        <v>3802</v>
      </c>
      <c r="N239" s="1326" t="s">
        <v>3799</v>
      </c>
      <c r="O239" s="1326" t="s">
        <v>3799</v>
      </c>
      <c r="P239" s="392" t="s">
        <v>3803</v>
      </c>
      <c r="Q239" s="734" t="s">
        <v>3587</v>
      </c>
      <c r="R239" s="792">
        <v>100</v>
      </c>
      <c r="S239" s="773"/>
    </row>
    <row r="240" spans="1:19" ht="49.5">
      <c r="A240" s="1356"/>
      <c r="B240" s="1319"/>
      <c r="C240" s="1319"/>
      <c r="D240" s="1327"/>
      <c r="E240" s="1327"/>
      <c r="F240" s="1319"/>
      <c r="G240" s="1319"/>
      <c r="H240" s="1322"/>
      <c r="I240" s="1323"/>
      <c r="J240" s="1337"/>
      <c r="K240" s="1319"/>
      <c r="L240" s="1319"/>
      <c r="M240" s="1336"/>
      <c r="N240" s="1327"/>
      <c r="O240" s="1327"/>
      <c r="P240" s="392" t="s">
        <v>3678</v>
      </c>
      <c r="Q240" s="734" t="s">
        <v>3663</v>
      </c>
      <c r="R240" s="786">
        <v>500</v>
      </c>
      <c r="S240" s="773"/>
    </row>
    <row r="241" spans="1:19" ht="173.25">
      <c r="A241" s="1355">
        <v>43</v>
      </c>
      <c r="B241" s="1319">
        <v>740634</v>
      </c>
      <c r="C241" s="1319" t="s">
        <v>1416</v>
      </c>
      <c r="D241" s="1326" t="s">
        <v>1376</v>
      </c>
      <c r="E241" s="1326" t="s">
        <v>1376</v>
      </c>
      <c r="F241" s="1319">
        <v>6</v>
      </c>
      <c r="G241" s="1319">
        <v>1</v>
      </c>
      <c r="H241" s="1320" t="s">
        <v>3804</v>
      </c>
      <c r="I241" s="1321"/>
      <c r="J241" s="1337" t="s">
        <v>3805</v>
      </c>
      <c r="K241" s="1319">
        <v>1</v>
      </c>
      <c r="L241" s="1319">
        <v>7</v>
      </c>
      <c r="M241" s="1336" t="s">
        <v>3806</v>
      </c>
      <c r="N241" s="1326" t="s">
        <v>1376</v>
      </c>
      <c r="O241" s="1326" t="s">
        <v>1376</v>
      </c>
      <c r="P241" s="392" t="s">
        <v>1417</v>
      </c>
      <c r="Q241" s="734" t="s">
        <v>3663</v>
      </c>
      <c r="R241" s="786">
        <v>500</v>
      </c>
      <c r="S241" s="773"/>
    </row>
    <row r="242" spans="1:19" ht="99">
      <c r="A242" s="1356"/>
      <c r="B242" s="1319"/>
      <c r="C242" s="1319"/>
      <c r="D242" s="1327"/>
      <c r="E242" s="1327"/>
      <c r="F242" s="1319"/>
      <c r="G242" s="1319"/>
      <c r="H242" s="1322"/>
      <c r="I242" s="1323"/>
      <c r="J242" s="1337"/>
      <c r="K242" s="1319"/>
      <c r="L242" s="1319"/>
      <c r="M242" s="1336"/>
      <c r="N242" s="1327"/>
      <c r="O242" s="1327"/>
      <c r="P242" s="392" t="s">
        <v>3217</v>
      </c>
      <c r="Q242" s="734" t="s">
        <v>3587</v>
      </c>
      <c r="R242" s="792">
        <v>100</v>
      </c>
      <c r="S242" s="773"/>
    </row>
    <row r="243" spans="1:19" ht="99">
      <c r="A243" s="1356"/>
      <c r="B243" s="1319"/>
      <c r="C243" s="1319"/>
      <c r="D243" s="1327"/>
      <c r="E243" s="1327"/>
      <c r="F243" s="1319"/>
      <c r="G243" s="1319"/>
      <c r="H243" s="1322"/>
      <c r="I243" s="1323"/>
      <c r="J243" s="1337"/>
      <c r="K243" s="1319"/>
      <c r="L243" s="1319"/>
      <c r="M243" s="1336"/>
      <c r="N243" s="1327"/>
      <c r="O243" s="1327"/>
      <c r="P243" s="392" t="s">
        <v>3218</v>
      </c>
      <c r="Q243" s="734" t="s">
        <v>3587</v>
      </c>
      <c r="R243" s="786">
        <v>14</v>
      </c>
      <c r="S243" s="773"/>
    </row>
    <row r="244" spans="1:19" ht="24.75">
      <c r="A244" s="1357"/>
      <c r="B244" s="1319"/>
      <c r="C244" s="1319"/>
      <c r="D244" s="1328"/>
      <c r="E244" s="1328"/>
      <c r="F244" s="1319"/>
      <c r="G244" s="1319"/>
      <c r="H244" s="1324"/>
      <c r="I244" s="1325"/>
      <c r="J244" s="1337"/>
      <c r="K244" s="1319"/>
      <c r="L244" s="1319"/>
      <c r="M244" s="1336"/>
      <c r="N244" s="1328"/>
      <c r="O244" s="1328"/>
      <c r="P244" s="392" t="s">
        <v>3098</v>
      </c>
      <c r="Q244" s="734" t="s">
        <v>3587</v>
      </c>
      <c r="R244" s="792">
        <v>36</v>
      </c>
      <c r="S244" s="773"/>
    </row>
    <row r="245" spans="1:19" ht="24.75">
      <c r="A245" s="1355">
        <v>44</v>
      </c>
      <c r="B245" s="1319">
        <v>749877</v>
      </c>
      <c r="C245" s="1319" t="s">
        <v>259</v>
      </c>
      <c r="D245" s="1326" t="s">
        <v>1415</v>
      </c>
      <c r="E245" s="1326" t="s">
        <v>1372</v>
      </c>
      <c r="F245" s="1319">
        <v>6</v>
      </c>
      <c r="G245" s="1319">
        <v>2</v>
      </c>
      <c r="H245" s="1320" t="s">
        <v>3807</v>
      </c>
      <c r="I245" s="1321"/>
      <c r="J245" s="1337" t="s">
        <v>1418</v>
      </c>
      <c r="K245" s="1319">
        <v>0</v>
      </c>
      <c r="L245" s="1319">
        <v>7</v>
      </c>
      <c r="M245" s="1319" t="s">
        <v>3808</v>
      </c>
      <c r="N245" s="1326" t="s">
        <v>1415</v>
      </c>
      <c r="O245" s="1326" t="s">
        <v>1372</v>
      </c>
      <c r="P245" s="392" t="s">
        <v>1419</v>
      </c>
      <c r="Q245" s="734" t="s">
        <v>3677</v>
      </c>
      <c r="R245" s="786">
        <v>1500</v>
      </c>
      <c r="S245" s="773"/>
    </row>
    <row r="246" spans="1:19" ht="123.75">
      <c r="A246" s="1356"/>
      <c r="B246" s="1319"/>
      <c r="C246" s="1319"/>
      <c r="D246" s="1327"/>
      <c r="E246" s="1327"/>
      <c r="F246" s="1319"/>
      <c r="G246" s="1319"/>
      <c r="H246" s="1322"/>
      <c r="I246" s="1323"/>
      <c r="J246" s="1337"/>
      <c r="K246" s="1319"/>
      <c r="L246" s="1319"/>
      <c r="M246" s="1319"/>
      <c r="N246" s="1327"/>
      <c r="O246" s="1327"/>
      <c r="P246" s="392" t="s">
        <v>1420</v>
      </c>
      <c r="Q246" s="734" t="s">
        <v>3664</v>
      </c>
      <c r="R246" s="786">
        <v>500</v>
      </c>
      <c r="S246" s="773"/>
    </row>
    <row r="247" spans="1:19" ht="49.5">
      <c r="A247" s="1357"/>
      <c r="B247" s="1319"/>
      <c r="C247" s="1319"/>
      <c r="D247" s="1328"/>
      <c r="E247" s="1328"/>
      <c r="F247" s="1319"/>
      <c r="G247" s="1319"/>
      <c r="H247" s="1324"/>
      <c r="I247" s="1325"/>
      <c r="J247" s="1337"/>
      <c r="K247" s="1319"/>
      <c r="L247" s="1319"/>
      <c r="M247" s="1319"/>
      <c r="N247" s="1328"/>
      <c r="O247" s="1328"/>
      <c r="P247" s="392" t="s">
        <v>3097</v>
      </c>
      <c r="Q247" s="734" t="s">
        <v>3587</v>
      </c>
      <c r="R247" s="786">
        <v>14</v>
      </c>
      <c r="S247" s="773"/>
    </row>
    <row r="248" spans="1:19" ht="123.75">
      <c r="A248" s="1338">
        <v>45</v>
      </c>
      <c r="B248" s="1299">
        <v>749877</v>
      </c>
      <c r="C248" s="878" t="s">
        <v>3809</v>
      </c>
      <c r="D248" s="1402" t="s">
        <v>3810</v>
      </c>
      <c r="E248" s="1402" t="s">
        <v>3811</v>
      </c>
      <c r="F248" s="878">
        <v>5</v>
      </c>
      <c r="G248" s="878">
        <v>2</v>
      </c>
      <c r="H248" s="1320" t="s">
        <v>3669</v>
      </c>
      <c r="I248" s="1321"/>
      <c r="J248" s="1333" t="s">
        <v>3812</v>
      </c>
      <c r="K248" s="1346">
        <v>0</v>
      </c>
      <c r="L248" s="1346">
        <v>6</v>
      </c>
      <c r="M248" s="1358" t="s">
        <v>3813</v>
      </c>
      <c r="N248" s="1402" t="s">
        <v>3810</v>
      </c>
      <c r="O248" s="1402" t="s">
        <v>3811</v>
      </c>
      <c r="P248" s="791" t="s">
        <v>3814</v>
      </c>
      <c r="Q248" s="1417">
        <v>2020</v>
      </c>
      <c r="R248" s="790">
        <v>20</v>
      </c>
      <c r="S248" s="1346"/>
    </row>
    <row r="249" spans="1:19" ht="49.5">
      <c r="A249" s="1339"/>
      <c r="B249" s="1312"/>
      <c r="C249" s="881"/>
      <c r="D249" s="1402"/>
      <c r="E249" s="1402"/>
      <c r="F249" s="881"/>
      <c r="G249" s="881"/>
      <c r="H249" s="1322"/>
      <c r="I249" s="1323"/>
      <c r="J249" s="1334"/>
      <c r="K249" s="1347"/>
      <c r="L249" s="1347"/>
      <c r="M249" s="1359"/>
      <c r="N249" s="1402"/>
      <c r="O249" s="1402"/>
      <c r="P249" s="791" t="s">
        <v>3815</v>
      </c>
      <c r="Q249" s="1422"/>
      <c r="R249" s="1427">
        <v>14</v>
      </c>
      <c r="S249" s="1347"/>
    </row>
    <row r="250" spans="1:19" ht="49.5">
      <c r="A250" s="1339"/>
      <c r="B250" s="1312"/>
      <c r="C250" s="881"/>
      <c r="D250" s="1402"/>
      <c r="E250" s="1402"/>
      <c r="F250" s="881"/>
      <c r="G250" s="881"/>
      <c r="H250" s="1324"/>
      <c r="I250" s="1325"/>
      <c r="J250" s="1335"/>
      <c r="K250" s="1347"/>
      <c r="L250" s="1347"/>
      <c r="M250" s="1359"/>
      <c r="N250" s="1402"/>
      <c r="O250" s="1402"/>
      <c r="P250" s="392" t="s">
        <v>3097</v>
      </c>
      <c r="Q250" s="1423"/>
      <c r="R250" s="1428"/>
      <c r="S250" s="1400"/>
    </row>
    <row r="251" spans="1:19" ht="49.5">
      <c r="A251" s="1338">
        <v>46</v>
      </c>
      <c r="B251" s="1299">
        <v>749877</v>
      </c>
      <c r="C251" s="878" t="s">
        <v>259</v>
      </c>
      <c r="D251" s="1343" t="s">
        <v>3816</v>
      </c>
      <c r="E251" s="1343" t="s">
        <v>1443</v>
      </c>
      <c r="F251" s="878">
        <v>3</v>
      </c>
      <c r="G251" s="878">
        <v>2</v>
      </c>
      <c r="H251" s="1320" t="s">
        <v>3640</v>
      </c>
      <c r="I251" s="1321"/>
      <c r="J251" s="1333" t="s">
        <v>3817</v>
      </c>
      <c r="K251" s="1346">
        <v>0</v>
      </c>
      <c r="L251" s="1346">
        <v>3</v>
      </c>
      <c r="M251" s="1346" t="s">
        <v>3818</v>
      </c>
      <c r="N251" s="1343" t="s">
        <v>3816</v>
      </c>
      <c r="O251" s="1343" t="s">
        <v>1443</v>
      </c>
      <c r="P251" s="392" t="s">
        <v>3788</v>
      </c>
      <c r="Q251" s="1417">
        <v>2020</v>
      </c>
      <c r="R251" s="790"/>
      <c r="S251" s="1346"/>
    </row>
    <row r="252" spans="1:19" ht="24.75">
      <c r="A252" s="1339"/>
      <c r="B252" s="1312"/>
      <c r="C252" s="881"/>
      <c r="D252" s="1344"/>
      <c r="E252" s="1344"/>
      <c r="F252" s="881"/>
      <c r="G252" s="881"/>
      <c r="H252" s="1322"/>
      <c r="I252" s="1323"/>
      <c r="J252" s="1334"/>
      <c r="K252" s="1347"/>
      <c r="L252" s="1347"/>
      <c r="M252" s="1347"/>
      <c r="N252" s="1344"/>
      <c r="O252" s="1344"/>
      <c r="P252" s="392" t="s">
        <v>3108</v>
      </c>
      <c r="Q252" s="1422"/>
      <c r="R252" s="790">
        <v>50</v>
      </c>
      <c r="S252" s="1347"/>
    </row>
    <row r="253" spans="1:19" ht="74.25">
      <c r="A253" s="1376"/>
      <c r="B253" s="1300"/>
      <c r="C253" s="879"/>
      <c r="D253" s="1345"/>
      <c r="E253" s="1345"/>
      <c r="F253" s="879"/>
      <c r="G253" s="879"/>
      <c r="H253" s="1324"/>
      <c r="I253" s="1325"/>
      <c r="J253" s="1335"/>
      <c r="K253" s="1400"/>
      <c r="L253" s="1400"/>
      <c r="M253" s="1400"/>
      <c r="N253" s="1345"/>
      <c r="O253" s="1345"/>
      <c r="P253" s="791" t="s">
        <v>3819</v>
      </c>
      <c r="Q253" s="1423"/>
      <c r="R253" s="790"/>
      <c r="S253" s="1400"/>
    </row>
    <row r="254" spans="1:19" ht="74.25">
      <c r="A254" s="1338">
        <v>47</v>
      </c>
      <c r="B254" s="1299">
        <v>749877</v>
      </c>
      <c r="C254" s="878" t="s">
        <v>259</v>
      </c>
      <c r="D254" s="1343" t="s">
        <v>3820</v>
      </c>
      <c r="E254" s="1343" t="s">
        <v>3701</v>
      </c>
      <c r="F254" s="878">
        <v>8</v>
      </c>
      <c r="G254" s="878">
        <v>2</v>
      </c>
      <c r="H254" s="1320" t="s">
        <v>3821</v>
      </c>
      <c r="I254" s="1321"/>
      <c r="J254" s="1430" t="s">
        <v>3822</v>
      </c>
      <c r="K254" s="1346">
        <v>0</v>
      </c>
      <c r="L254" s="1346">
        <v>8</v>
      </c>
      <c r="M254" s="1346" t="s">
        <v>3823</v>
      </c>
      <c r="N254" s="1343" t="s">
        <v>3820</v>
      </c>
      <c r="O254" s="1343" t="s">
        <v>3701</v>
      </c>
      <c r="P254" s="791" t="s">
        <v>3705</v>
      </c>
      <c r="Q254" s="1417">
        <v>2020</v>
      </c>
      <c r="R254" s="790"/>
      <c r="S254" s="1346"/>
    </row>
    <row r="255" spans="1:19" ht="49.5">
      <c r="A255" s="1339"/>
      <c r="B255" s="1312"/>
      <c r="C255" s="881"/>
      <c r="D255" s="1344"/>
      <c r="E255" s="1344"/>
      <c r="F255" s="881"/>
      <c r="G255" s="881"/>
      <c r="H255" s="1322"/>
      <c r="I255" s="1323"/>
      <c r="J255" s="1449"/>
      <c r="K255" s="1347"/>
      <c r="L255" s="1347"/>
      <c r="M255" s="1347"/>
      <c r="N255" s="1344"/>
      <c r="O255" s="1344"/>
      <c r="P255" s="392" t="s">
        <v>3111</v>
      </c>
      <c r="Q255" s="1422"/>
      <c r="R255" s="790">
        <v>14</v>
      </c>
      <c r="S255" s="1347"/>
    </row>
    <row r="256" spans="1:19" ht="24.75">
      <c r="A256" s="1339"/>
      <c r="B256" s="1312"/>
      <c r="C256" s="879"/>
      <c r="D256" s="1344"/>
      <c r="E256" s="1344"/>
      <c r="F256" s="881"/>
      <c r="G256" s="881"/>
      <c r="H256" s="1324"/>
      <c r="I256" s="1325"/>
      <c r="J256" s="1431"/>
      <c r="K256" s="1347"/>
      <c r="L256" s="1347"/>
      <c r="M256" s="1347"/>
      <c r="N256" s="1344"/>
      <c r="O256" s="1344"/>
      <c r="P256" s="392" t="s">
        <v>3108</v>
      </c>
      <c r="Q256" s="1423"/>
      <c r="R256" s="801">
        <v>20</v>
      </c>
      <c r="S256" s="1400"/>
    </row>
    <row r="257" spans="1:19" ht="99">
      <c r="A257" s="1355">
        <v>48</v>
      </c>
      <c r="B257" s="1319">
        <v>738775</v>
      </c>
      <c r="C257" s="1319" t="s">
        <v>1421</v>
      </c>
      <c r="D257" s="1326" t="s">
        <v>1422</v>
      </c>
      <c r="E257" s="1326" t="s">
        <v>1347</v>
      </c>
      <c r="F257" s="1319">
        <v>7</v>
      </c>
      <c r="G257" s="1319">
        <v>2</v>
      </c>
      <c r="H257" s="1320" t="s">
        <v>3824</v>
      </c>
      <c r="I257" s="1321"/>
      <c r="J257" s="1337" t="s">
        <v>3825</v>
      </c>
      <c r="K257" s="1319">
        <v>0</v>
      </c>
      <c r="L257" s="1319">
        <v>7</v>
      </c>
      <c r="M257" s="1336" t="s">
        <v>3826</v>
      </c>
      <c r="N257" s="1326" t="s">
        <v>1422</v>
      </c>
      <c r="O257" s="1326" t="s">
        <v>1347</v>
      </c>
      <c r="P257" s="392" t="s">
        <v>3219</v>
      </c>
      <c r="Q257" s="734" t="s">
        <v>3827</v>
      </c>
      <c r="R257" s="786">
        <v>7000</v>
      </c>
      <c r="S257" s="773"/>
    </row>
    <row r="258" spans="1:19" ht="123.75">
      <c r="A258" s="1356"/>
      <c r="B258" s="1319"/>
      <c r="C258" s="1319"/>
      <c r="D258" s="1327"/>
      <c r="E258" s="1327"/>
      <c r="F258" s="1319"/>
      <c r="G258" s="1319"/>
      <c r="H258" s="1322"/>
      <c r="I258" s="1323"/>
      <c r="J258" s="1337"/>
      <c r="K258" s="1319"/>
      <c r="L258" s="1319"/>
      <c r="M258" s="1336"/>
      <c r="N258" s="1327"/>
      <c r="O258" s="1327"/>
      <c r="P258" s="392" t="s">
        <v>3220</v>
      </c>
      <c r="Q258" s="734" t="s">
        <v>3610</v>
      </c>
      <c r="R258" s="792">
        <v>100</v>
      </c>
      <c r="S258" s="773"/>
    </row>
    <row r="259" spans="1:19" ht="198">
      <c r="A259" s="1356"/>
      <c r="B259" s="1319"/>
      <c r="C259" s="1319"/>
      <c r="D259" s="1327"/>
      <c r="E259" s="1327"/>
      <c r="F259" s="1319"/>
      <c r="G259" s="1319"/>
      <c r="H259" s="1322"/>
      <c r="I259" s="1323"/>
      <c r="J259" s="1337"/>
      <c r="K259" s="1319"/>
      <c r="L259" s="1319"/>
      <c r="M259" s="1336"/>
      <c r="N259" s="1327"/>
      <c r="O259" s="1327"/>
      <c r="P259" s="392" t="s">
        <v>3828</v>
      </c>
      <c r="Q259" s="734" t="s">
        <v>3610</v>
      </c>
      <c r="R259" s="786">
        <v>5</v>
      </c>
      <c r="S259" s="773"/>
    </row>
    <row r="260" spans="1:19" ht="173.25">
      <c r="A260" s="1356"/>
      <c r="B260" s="1319"/>
      <c r="C260" s="1319"/>
      <c r="D260" s="1327"/>
      <c r="E260" s="1327"/>
      <c r="F260" s="1319"/>
      <c r="G260" s="1319"/>
      <c r="H260" s="1322"/>
      <c r="I260" s="1323"/>
      <c r="J260" s="1337"/>
      <c r="K260" s="1319"/>
      <c r="L260" s="1319"/>
      <c r="M260" s="1336"/>
      <c r="N260" s="1327"/>
      <c r="O260" s="1327"/>
      <c r="P260" s="392" t="s">
        <v>3829</v>
      </c>
      <c r="Q260" s="734" t="s">
        <v>3827</v>
      </c>
      <c r="R260" s="786">
        <v>500</v>
      </c>
      <c r="S260" s="773"/>
    </row>
    <row r="261" spans="1:19" ht="99">
      <c r="A261" s="1356"/>
      <c r="B261" s="1319"/>
      <c r="C261" s="1319"/>
      <c r="D261" s="1327"/>
      <c r="E261" s="1327"/>
      <c r="F261" s="1319"/>
      <c r="G261" s="1319"/>
      <c r="H261" s="1322"/>
      <c r="I261" s="1323"/>
      <c r="J261" s="1337"/>
      <c r="K261" s="1319"/>
      <c r="L261" s="1319"/>
      <c r="M261" s="1336"/>
      <c r="N261" s="1327"/>
      <c r="O261" s="1327"/>
      <c r="P261" s="392" t="s">
        <v>3221</v>
      </c>
      <c r="Q261" s="734" t="s">
        <v>3664</v>
      </c>
      <c r="R261" s="786">
        <v>500</v>
      </c>
      <c r="S261" s="773"/>
    </row>
    <row r="262" spans="1:19" ht="49.5">
      <c r="A262" s="1356"/>
      <c r="B262" s="1319"/>
      <c r="C262" s="1319"/>
      <c r="D262" s="1327"/>
      <c r="E262" s="1327"/>
      <c r="F262" s="1319"/>
      <c r="G262" s="1319"/>
      <c r="H262" s="1322"/>
      <c r="I262" s="1323"/>
      <c r="J262" s="1337"/>
      <c r="K262" s="1319"/>
      <c r="L262" s="1319"/>
      <c r="M262" s="1336"/>
      <c r="N262" s="1327"/>
      <c r="O262" s="1327"/>
      <c r="P262" s="392" t="s">
        <v>3222</v>
      </c>
      <c r="Q262" s="734" t="s">
        <v>3610</v>
      </c>
      <c r="R262" s="786">
        <v>10</v>
      </c>
      <c r="S262" s="773"/>
    </row>
    <row r="263" spans="1:19" ht="24.75">
      <c r="A263" s="1357"/>
      <c r="B263" s="1319"/>
      <c r="C263" s="1319"/>
      <c r="D263" s="1328"/>
      <c r="E263" s="1328"/>
      <c r="F263" s="1319"/>
      <c r="G263" s="1319"/>
      <c r="H263" s="1324"/>
      <c r="I263" s="1325"/>
      <c r="J263" s="1337"/>
      <c r="K263" s="1319"/>
      <c r="L263" s="1319"/>
      <c r="M263" s="1336"/>
      <c r="N263" s="1328"/>
      <c r="O263" s="1328"/>
      <c r="P263" s="392" t="s">
        <v>3129</v>
      </c>
      <c r="Q263" s="734" t="s">
        <v>3610</v>
      </c>
      <c r="R263" s="792">
        <v>36</v>
      </c>
      <c r="S263" s="773"/>
    </row>
    <row r="264" spans="1:19" ht="99">
      <c r="A264" s="1355">
        <v>49</v>
      </c>
      <c r="B264" s="1319">
        <v>738775</v>
      </c>
      <c r="C264" s="1319" t="s">
        <v>1421</v>
      </c>
      <c r="D264" s="1326" t="s">
        <v>1423</v>
      </c>
      <c r="E264" s="1326" t="s">
        <v>1424</v>
      </c>
      <c r="F264" s="1319">
        <v>5</v>
      </c>
      <c r="G264" s="1319">
        <v>1</v>
      </c>
      <c r="H264" s="1320" t="s">
        <v>3679</v>
      </c>
      <c r="I264" s="1321"/>
      <c r="J264" s="1337" t="s">
        <v>3830</v>
      </c>
      <c r="K264" s="1319">
        <v>0</v>
      </c>
      <c r="L264" s="1319">
        <v>5</v>
      </c>
      <c r="M264" s="1336" t="s">
        <v>3831</v>
      </c>
      <c r="N264" s="1326" t="s">
        <v>1423</v>
      </c>
      <c r="O264" s="1326" t="s">
        <v>1424</v>
      </c>
      <c r="P264" s="392" t="s">
        <v>1425</v>
      </c>
      <c r="Q264" s="734" t="s">
        <v>3610</v>
      </c>
      <c r="R264" s="786">
        <v>500</v>
      </c>
      <c r="S264" s="773"/>
    </row>
    <row r="265" spans="1:19" ht="123.75">
      <c r="A265" s="1356"/>
      <c r="B265" s="1319"/>
      <c r="C265" s="1319"/>
      <c r="D265" s="1327"/>
      <c r="E265" s="1327"/>
      <c r="F265" s="1319"/>
      <c r="G265" s="1319"/>
      <c r="H265" s="1322"/>
      <c r="I265" s="1323"/>
      <c r="J265" s="1337"/>
      <c r="K265" s="1319"/>
      <c r="L265" s="1319"/>
      <c r="M265" s="1336"/>
      <c r="N265" s="1327"/>
      <c r="O265" s="1327"/>
      <c r="P265" s="392" t="s">
        <v>3223</v>
      </c>
      <c r="Q265" s="734" t="s">
        <v>3610</v>
      </c>
      <c r="R265" s="786">
        <v>200</v>
      </c>
      <c r="S265" s="773"/>
    </row>
    <row r="266" spans="1:19" ht="24.75">
      <c r="A266" s="1356"/>
      <c r="B266" s="1319"/>
      <c r="C266" s="1319"/>
      <c r="D266" s="1327"/>
      <c r="E266" s="1327"/>
      <c r="F266" s="1319"/>
      <c r="G266" s="1319"/>
      <c r="H266" s="1322"/>
      <c r="I266" s="1323"/>
      <c r="J266" s="1337"/>
      <c r="K266" s="1319"/>
      <c r="L266" s="1319"/>
      <c r="M266" s="1336"/>
      <c r="N266" s="1327"/>
      <c r="O266" s="1327"/>
      <c r="P266" s="392" t="s">
        <v>3108</v>
      </c>
      <c r="Q266" s="734" t="s">
        <v>3610</v>
      </c>
      <c r="R266" s="786">
        <v>50</v>
      </c>
      <c r="S266" s="773"/>
    </row>
    <row r="267" spans="1:19" ht="49.5">
      <c r="A267" s="1356"/>
      <c r="B267" s="1319"/>
      <c r="C267" s="1319"/>
      <c r="D267" s="1327"/>
      <c r="E267" s="1327"/>
      <c r="F267" s="1319"/>
      <c r="G267" s="1319"/>
      <c r="H267" s="1322"/>
      <c r="I267" s="1323"/>
      <c r="J267" s="1337"/>
      <c r="K267" s="1319"/>
      <c r="L267" s="1319"/>
      <c r="M267" s="1336"/>
      <c r="N267" s="1327"/>
      <c r="O267" s="1327"/>
      <c r="P267" s="392" t="s">
        <v>3121</v>
      </c>
      <c r="Q267" s="734" t="s">
        <v>3610</v>
      </c>
      <c r="R267" s="792">
        <v>36</v>
      </c>
      <c r="S267" s="773"/>
    </row>
    <row r="268" spans="1:19" ht="49.5">
      <c r="A268" s="1357"/>
      <c r="B268" s="1319"/>
      <c r="C268" s="1319"/>
      <c r="D268" s="1328"/>
      <c r="E268" s="1328"/>
      <c r="F268" s="1319"/>
      <c r="G268" s="1319"/>
      <c r="H268" s="1324"/>
      <c r="I268" s="1325"/>
      <c r="J268" s="1337"/>
      <c r="K268" s="1319"/>
      <c r="L268" s="1319"/>
      <c r="M268" s="1336"/>
      <c r="N268" s="1328"/>
      <c r="O268" s="1328"/>
      <c r="P268" s="392" t="s">
        <v>3672</v>
      </c>
      <c r="Q268" s="734" t="s">
        <v>3587</v>
      </c>
      <c r="R268" s="786">
        <v>14</v>
      </c>
      <c r="S268" s="773"/>
    </row>
    <row r="269" spans="1:19" ht="49.5">
      <c r="A269" s="1397">
        <v>50</v>
      </c>
      <c r="B269" s="1326" t="s">
        <v>2063</v>
      </c>
      <c r="C269" s="878" t="s">
        <v>3832</v>
      </c>
      <c r="D269" s="1343" t="s">
        <v>3833</v>
      </c>
      <c r="E269" s="1343" t="s">
        <v>3834</v>
      </c>
      <c r="F269" s="878">
        <v>7</v>
      </c>
      <c r="G269" s="878">
        <v>2</v>
      </c>
      <c r="H269" s="1320" t="s">
        <v>3835</v>
      </c>
      <c r="I269" s="1321"/>
      <c r="J269" s="1430" t="s">
        <v>3836</v>
      </c>
      <c r="K269" s="878">
        <v>0</v>
      </c>
      <c r="L269" s="1346">
        <v>9</v>
      </c>
      <c r="M269" s="1346" t="s">
        <v>3837</v>
      </c>
      <c r="N269" s="1343" t="s">
        <v>3833</v>
      </c>
      <c r="O269" s="1343" t="s">
        <v>3834</v>
      </c>
      <c r="P269" s="392" t="s">
        <v>3672</v>
      </c>
      <c r="Q269" s="1417">
        <v>2020</v>
      </c>
      <c r="R269" s="788">
        <v>14</v>
      </c>
      <c r="S269" s="1346"/>
    </row>
    <row r="270" spans="1:19" ht="49.5">
      <c r="A270" s="1398"/>
      <c r="B270" s="1327"/>
      <c r="C270" s="881"/>
      <c r="D270" s="1344"/>
      <c r="E270" s="1344"/>
      <c r="F270" s="881"/>
      <c r="G270" s="881"/>
      <c r="H270" s="1324"/>
      <c r="I270" s="1325"/>
      <c r="J270" s="1431"/>
      <c r="K270" s="881"/>
      <c r="L270" s="1347"/>
      <c r="M270" s="1347"/>
      <c r="N270" s="1344"/>
      <c r="O270" s="1344"/>
      <c r="P270" s="791" t="s">
        <v>3797</v>
      </c>
      <c r="Q270" s="1423"/>
      <c r="R270" s="790"/>
      <c r="S270" s="1400"/>
    </row>
    <row r="271" spans="1:19" ht="49.5">
      <c r="A271" s="1338">
        <v>51</v>
      </c>
      <c r="B271" s="1299" t="s">
        <v>2063</v>
      </c>
      <c r="C271" s="878" t="s">
        <v>3838</v>
      </c>
      <c r="D271" s="1368" t="s">
        <v>3839</v>
      </c>
      <c r="E271" s="1369"/>
      <c r="F271" s="878">
        <v>3</v>
      </c>
      <c r="G271" s="878">
        <v>2</v>
      </c>
      <c r="H271" s="1372" t="s">
        <v>3533</v>
      </c>
      <c r="I271" s="1373"/>
      <c r="J271" s="1333" t="s">
        <v>3840</v>
      </c>
      <c r="K271" s="1346">
        <v>0</v>
      </c>
      <c r="L271" s="1346">
        <v>10</v>
      </c>
      <c r="M271" s="1346" t="s">
        <v>3580</v>
      </c>
      <c r="N271" s="1368" t="s">
        <v>3839</v>
      </c>
      <c r="O271" s="1369"/>
      <c r="P271" s="791" t="s">
        <v>3841</v>
      </c>
      <c r="Q271" s="1417">
        <v>2020</v>
      </c>
      <c r="R271" s="1427"/>
      <c r="S271" s="1346"/>
    </row>
    <row r="272" spans="1:19" ht="49.5">
      <c r="A272" s="1339"/>
      <c r="B272" s="1312"/>
      <c r="C272" s="881"/>
      <c r="D272" s="1370"/>
      <c r="E272" s="1371"/>
      <c r="F272" s="881"/>
      <c r="G272" s="881"/>
      <c r="H272" s="1374"/>
      <c r="I272" s="1375"/>
      <c r="J272" s="1334"/>
      <c r="K272" s="1347"/>
      <c r="L272" s="1347"/>
      <c r="M272" s="1347"/>
      <c r="N272" s="1370"/>
      <c r="O272" s="1371"/>
      <c r="P272" s="802" t="s">
        <v>3842</v>
      </c>
      <c r="Q272" s="1422"/>
      <c r="R272" s="1429"/>
      <c r="S272" s="1400"/>
    </row>
    <row r="273" spans="1:19" ht="74.25">
      <c r="A273" s="1338">
        <v>52</v>
      </c>
      <c r="B273" s="1299" t="s">
        <v>2103</v>
      </c>
      <c r="C273" s="878" t="s">
        <v>3843</v>
      </c>
      <c r="D273" s="1343" t="s">
        <v>3211</v>
      </c>
      <c r="E273" s="1343" t="s">
        <v>3844</v>
      </c>
      <c r="F273" s="878">
        <v>4</v>
      </c>
      <c r="G273" s="878">
        <v>2</v>
      </c>
      <c r="H273" s="1372" t="s">
        <v>3568</v>
      </c>
      <c r="I273" s="1373"/>
      <c r="J273" s="1333" t="s">
        <v>3845</v>
      </c>
      <c r="K273" s="878">
        <v>0</v>
      </c>
      <c r="L273" s="1346">
        <v>4</v>
      </c>
      <c r="M273" s="1346" t="s">
        <v>3846</v>
      </c>
      <c r="N273" s="1343" t="s">
        <v>3211</v>
      </c>
      <c r="O273" s="1343" t="s">
        <v>3844</v>
      </c>
      <c r="P273" s="791" t="s">
        <v>3847</v>
      </c>
      <c r="Q273" s="1417">
        <v>2020</v>
      </c>
      <c r="R273" s="790">
        <v>50</v>
      </c>
      <c r="S273" s="803"/>
    </row>
    <row r="274" spans="1:19" ht="74.25">
      <c r="A274" s="1339"/>
      <c r="B274" s="1312"/>
      <c r="C274" s="881"/>
      <c r="D274" s="1344"/>
      <c r="E274" s="1344"/>
      <c r="F274" s="881"/>
      <c r="G274" s="881"/>
      <c r="H274" s="1374"/>
      <c r="I274" s="1375"/>
      <c r="J274" s="1334"/>
      <c r="K274" s="881"/>
      <c r="L274" s="1347"/>
      <c r="M274" s="1347"/>
      <c r="N274" s="1344"/>
      <c r="O274" s="1344"/>
      <c r="P274" s="791" t="s">
        <v>3658</v>
      </c>
      <c r="Q274" s="1422"/>
      <c r="R274" s="790">
        <v>20</v>
      </c>
      <c r="S274" s="803"/>
    </row>
    <row r="275" spans="1:19" ht="49.5">
      <c r="A275" s="1339"/>
      <c r="B275" s="1312"/>
      <c r="C275" s="881"/>
      <c r="D275" s="1344"/>
      <c r="E275" s="1344"/>
      <c r="F275" s="881"/>
      <c r="G275" s="881"/>
      <c r="H275" s="1374"/>
      <c r="I275" s="1375"/>
      <c r="J275" s="1334"/>
      <c r="K275" s="881"/>
      <c r="L275" s="1347"/>
      <c r="M275" s="1347"/>
      <c r="N275" s="1344"/>
      <c r="O275" s="1344"/>
      <c r="P275" s="791" t="s">
        <v>3848</v>
      </c>
      <c r="Q275" s="1422"/>
      <c r="R275" s="1427"/>
      <c r="S275" s="1346"/>
    </row>
    <row r="276" spans="1:19" ht="49.5">
      <c r="A276" s="1376"/>
      <c r="B276" s="1300"/>
      <c r="C276" s="879"/>
      <c r="D276" s="1345"/>
      <c r="E276" s="1345"/>
      <c r="F276" s="879"/>
      <c r="G276" s="879"/>
      <c r="H276" s="1377"/>
      <c r="I276" s="1378"/>
      <c r="J276" s="1335"/>
      <c r="K276" s="879"/>
      <c r="L276" s="1400"/>
      <c r="M276" s="1400"/>
      <c r="N276" s="1345"/>
      <c r="O276" s="1345"/>
      <c r="P276" s="802" t="s">
        <v>3849</v>
      </c>
      <c r="Q276" s="1423"/>
      <c r="R276" s="1428"/>
      <c r="S276" s="1400"/>
    </row>
    <row r="277" spans="1:19" ht="49.5">
      <c r="A277" s="1313">
        <v>53</v>
      </c>
      <c r="B277" s="1299" t="s">
        <v>2063</v>
      </c>
      <c r="C277" s="1316" t="s">
        <v>3850</v>
      </c>
      <c r="D277" s="1348" t="s">
        <v>3851</v>
      </c>
      <c r="E277" s="1348" t="s">
        <v>3851</v>
      </c>
      <c r="F277" s="1316">
        <v>7</v>
      </c>
      <c r="G277" s="1316">
        <v>3</v>
      </c>
      <c r="H277" s="1351" t="s">
        <v>3852</v>
      </c>
      <c r="I277" s="1352"/>
      <c r="J277" s="1424" t="s">
        <v>3853</v>
      </c>
      <c r="K277" s="1316">
        <v>0</v>
      </c>
      <c r="L277" s="1316">
        <v>7</v>
      </c>
      <c r="M277" s="1316" t="s">
        <v>3854</v>
      </c>
      <c r="N277" s="1348" t="s">
        <v>3851</v>
      </c>
      <c r="O277" s="1348" t="s">
        <v>3851</v>
      </c>
      <c r="P277" s="802" t="s">
        <v>3855</v>
      </c>
      <c r="Q277" s="1417">
        <v>2020</v>
      </c>
      <c r="R277" s="801">
        <v>30</v>
      </c>
      <c r="S277" s="1346"/>
    </row>
    <row r="278" spans="1:19" ht="49.5">
      <c r="A278" s="1314"/>
      <c r="B278" s="1312"/>
      <c r="C278" s="1317"/>
      <c r="D278" s="1349"/>
      <c r="E278" s="1349"/>
      <c r="F278" s="1317"/>
      <c r="G278" s="1317"/>
      <c r="H278" s="1353"/>
      <c r="I278" s="1354"/>
      <c r="J278" s="1425"/>
      <c r="K278" s="1317"/>
      <c r="L278" s="1317"/>
      <c r="M278" s="1317"/>
      <c r="N278" s="1349"/>
      <c r="O278" s="1349"/>
      <c r="P278" s="802" t="s">
        <v>3815</v>
      </c>
      <c r="Q278" s="1422"/>
      <c r="R278" s="801">
        <v>50</v>
      </c>
      <c r="S278" s="1347"/>
    </row>
    <row r="279" spans="1:19" ht="24.75">
      <c r="A279" s="1314"/>
      <c r="B279" s="1312"/>
      <c r="C279" s="1317"/>
      <c r="D279" s="1350"/>
      <c r="E279" s="1350"/>
      <c r="F279" s="1317"/>
      <c r="G279" s="1317"/>
      <c r="H279" s="1353"/>
      <c r="I279" s="1354"/>
      <c r="J279" s="1426"/>
      <c r="K279" s="1317"/>
      <c r="L279" s="1317"/>
      <c r="M279" s="1317"/>
      <c r="N279" s="1350"/>
      <c r="O279" s="1350"/>
      <c r="P279" s="392" t="s">
        <v>3108</v>
      </c>
      <c r="Q279" s="1423"/>
      <c r="R279" s="790"/>
      <c r="S279" s="1400"/>
    </row>
    <row r="280" spans="1:19" ht="321.75">
      <c r="A280" s="1355">
        <v>54</v>
      </c>
      <c r="B280" s="1319">
        <v>735096</v>
      </c>
      <c r="C280" s="1319" t="s">
        <v>1426</v>
      </c>
      <c r="D280" s="1326" t="s">
        <v>1427</v>
      </c>
      <c r="E280" s="1326" t="s">
        <v>1428</v>
      </c>
      <c r="F280" s="1319">
        <v>9</v>
      </c>
      <c r="G280" s="1319">
        <v>2</v>
      </c>
      <c r="H280" s="1320" t="s">
        <v>3856</v>
      </c>
      <c r="I280" s="1321"/>
      <c r="J280" s="1337" t="s">
        <v>3857</v>
      </c>
      <c r="K280" s="1319">
        <v>2</v>
      </c>
      <c r="L280" s="1319">
        <v>11</v>
      </c>
      <c r="M280" s="1319" t="s">
        <v>3858</v>
      </c>
      <c r="N280" s="1326" t="s">
        <v>1427</v>
      </c>
      <c r="O280" s="1326" t="s">
        <v>1428</v>
      </c>
      <c r="P280" s="392" t="s">
        <v>1429</v>
      </c>
      <c r="Q280" s="734" t="s">
        <v>3664</v>
      </c>
      <c r="R280" s="786">
        <v>500</v>
      </c>
      <c r="S280" s="773"/>
    </row>
    <row r="281" spans="1:19" ht="49.5">
      <c r="A281" s="1356"/>
      <c r="B281" s="1319"/>
      <c r="C281" s="1319"/>
      <c r="D281" s="1327"/>
      <c r="E281" s="1327"/>
      <c r="F281" s="1319"/>
      <c r="G281" s="1319"/>
      <c r="H281" s="1322"/>
      <c r="I281" s="1323"/>
      <c r="J281" s="1337"/>
      <c r="K281" s="1319"/>
      <c r="L281" s="1319"/>
      <c r="M281" s="1319"/>
      <c r="N281" s="1327"/>
      <c r="O281" s="1327"/>
      <c r="P281" s="392" t="s">
        <v>3224</v>
      </c>
      <c r="Q281" s="734" t="s">
        <v>3587</v>
      </c>
      <c r="R281" s="786">
        <v>5</v>
      </c>
      <c r="S281" s="773"/>
    </row>
    <row r="282" spans="1:19" ht="49.5">
      <c r="A282" s="1356"/>
      <c r="B282" s="1319"/>
      <c r="C282" s="1319"/>
      <c r="D282" s="1327"/>
      <c r="E282" s="1327"/>
      <c r="F282" s="1319"/>
      <c r="G282" s="1319"/>
      <c r="H282" s="1322"/>
      <c r="I282" s="1323"/>
      <c r="J282" s="1337"/>
      <c r="K282" s="1319"/>
      <c r="L282" s="1319"/>
      <c r="M282" s="1319"/>
      <c r="N282" s="1327"/>
      <c r="O282" s="1327"/>
      <c r="P282" s="392" t="s">
        <v>3225</v>
      </c>
      <c r="Q282" s="734" t="s">
        <v>3587</v>
      </c>
      <c r="R282" s="786">
        <v>15</v>
      </c>
      <c r="S282" s="773"/>
    </row>
    <row r="283" spans="1:19" ht="99">
      <c r="A283" s="1356"/>
      <c r="B283" s="1319"/>
      <c r="C283" s="1319"/>
      <c r="D283" s="1327"/>
      <c r="E283" s="1327"/>
      <c r="F283" s="1319"/>
      <c r="G283" s="1319"/>
      <c r="H283" s="1322"/>
      <c r="I283" s="1323"/>
      <c r="J283" s="1337"/>
      <c r="K283" s="1319"/>
      <c r="L283" s="1319"/>
      <c r="M283" s="1319"/>
      <c r="N283" s="1327"/>
      <c r="O283" s="1327"/>
      <c r="P283" s="392" t="s">
        <v>3226</v>
      </c>
      <c r="Q283" s="734" t="s">
        <v>3587</v>
      </c>
      <c r="R283" s="786">
        <v>10</v>
      </c>
      <c r="S283" s="773"/>
    </row>
    <row r="284" spans="1:19" ht="24.75">
      <c r="A284" s="1356"/>
      <c r="B284" s="1319"/>
      <c r="C284" s="1319"/>
      <c r="D284" s="1327"/>
      <c r="E284" s="1327"/>
      <c r="F284" s="1319"/>
      <c r="G284" s="1319"/>
      <c r="H284" s="1322"/>
      <c r="I284" s="1323"/>
      <c r="J284" s="1337"/>
      <c r="K284" s="1319"/>
      <c r="L284" s="1319"/>
      <c r="M284" s="1319"/>
      <c r="N284" s="1327"/>
      <c r="O284" s="1327"/>
      <c r="P284" s="392" t="s">
        <v>3227</v>
      </c>
      <c r="Q284" s="734" t="s">
        <v>3664</v>
      </c>
      <c r="R284" s="786">
        <v>500</v>
      </c>
      <c r="S284" s="773"/>
    </row>
    <row r="285" spans="1:19" ht="49.5">
      <c r="A285" s="1356"/>
      <c r="B285" s="1319"/>
      <c r="C285" s="1319"/>
      <c r="D285" s="1327"/>
      <c r="E285" s="1327"/>
      <c r="F285" s="1319"/>
      <c r="G285" s="1319"/>
      <c r="H285" s="1322"/>
      <c r="I285" s="1323"/>
      <c r="J285" s="1337"/>
      <c r="K285" s="1319"/>
      <c r="L285" s="1319"/>
      <c r="M285" s="1319"/>
      <c r="N285" s="1327"/>
      <c r="O285" s="1327"/>
      <c r="P285" s="392" t="s">
        <v>3091</v>
      </c>
      <c r="Q285" s="734" t="s">
        <v>3587</v>
      </c>
      <c r="R285" s="786">
        <v>14</v>
      </c>
      <c r="S285" s="804"/>
    </row>
    <row r="286" spans="1:19" ht="24.75">
      <c r="A286" s="1356"/>
      <c r="B286" s="1319"/>
      <c r="C286" s="1319"/>
      <c r="D286" s="1327"/>
      <c r="E286" s="1327"/>
      <c r="F286" s="1319"/>
      <c r="G286" s="1319"/>
      <c r="H286" s="1322"/>
      <c r="I286" s="1323"/>
      <c r="J286" s="1337"/>
      <c r="K286" s="1319"/>
      <c r="L286" s="1319"/>
      <c r="M286" s="1319"/>
      <c r="N286" s="1327"/>
      <c r="O286" s="1327"/>
      <c r="P286" s="392" t="s">
        <v>3129</v>
      </c>
      <c r="Q286" s="734" t="s">
        <v>3587</v>
      </c>
      <c r="R286" s="792">
        <v>36</v>
      </c>
      <c r="S286" s="804"/>
    </row>
    <row r="287" spans="1:19" ht="49.5">
      <c r="A287" s="1356"/>
      <c r="B287" s="1319"/>
      <c r="C287" s="1319"/>
      <c r="D287" s="1327"/>
      <c r="E287" s="1327"/>
      <c r="F287" s="1319"/>
      <c r="G287" s="1319"/>
      <c r="H287" s="1322"/>
      <c r="I287" s="1323"/>
      <c r="J287" s="1337"/>
      <c r="K287" s="1319"/>
      <c r="L287" s="1319"/>
      <c r="M287" s="1319"/>
      <c r="N287" s="1327"/>
      <c r="O287" s="1327"/>
      <c r="P287" s="392" t="s">
        <v>3859</v>
      </c>
      <c r="Q287" s="734" t="s">
        <v>3587</v>
      </c>
      <c r="R287" s="786">
        <v>14</v>
      </c>
      <c r="S287" s="804"/>
    </row>
    <row r="288" spans="1:19" ht="74.25">
      <c r="A288" s="1357"/>
      <c r="B288" s="1319"/>
      <c r="C288" s="1319"/>
      <c r="D288" s="1328"/>
      <c r="E288" s="1328"/>
      <c r="F288" s="1319"/>
      <c r="G288" s="1319"/>
      <c r="H288" s="1324"/>
      <c r="I288" s="1325"/>
      <c r="J288" s="1337"/>
      <c r="K288" s="1319"/>
      <c r="L288" s="1319"/>
      <c r="M288" s="1319"/>
      <c r="N288" s="1328"/>
      <c r="O288" s="1328"/>
      <c r="P288" s="392" t="s">
        <v>3228</v>
      </c>
      <c r="Q288" s="734" t="s">
        <v>3587</v>
      </c>
      <c r="R288" s="792">
        <v>100</v>
      </c>
      <c r="S288" s="804"/>
    </row>
    <row r="289" spans="1:19" ht="99">
      <c r="A289" s="1330">
        <v>55</v>
      </c>
      <c r="B289" s="1319">
        <v>735096</v>
      </c>
      <c r="C289" s="1319" t="s">
        <v>1426</v>
      </c>
      <c r="D289" s="1358" t="s">
        <v>1407</v>
      </c>
      <c r="E289" s="1358" t="s">
        <v>1430</v>
      </c>
      <c r="F289" s="1361">
        <v>7</v>
      </c>
      <c r="G289" s="1361">
        <v>0</v>
      </c>
      <c r="H289" s="1362" t="s">
        <v>3860</v>
      </c>
      <c r="I289" s="1363"/>
      <c r="J289" s="1392" t="s">
        <v>3861</v>
      </c>
      <c r="K289" s="1361">
        <v>0</v>
      </c>
      <c r="L289" s="1361">
        <v>6</v>
      </c>
      <c r="M289" s="1393" t="s">
        <v>1410</v>
      </c>
      <c r="N289" s="1358" t="s">
        <v>1407</v>
      </c>
      <c r="O289" s="1358" t="s">
        <v>1430</v>
      </c>
      <c r="P289" s="392" t="s">
        <v>3862</v>
      </c>
      <c r="Q289" s="734" t="s">
        <v>3587</v>
      </c>
      <c r="R289" s="792">
        <v>100</v>
      </c>
      <c r="S289" s="804"/>
    </row>
    <row r="290" spans="1:19" ht="297">
      <c r="A290" s="1331"/>
      <c r="B290" s="1319"/>
      <c r="C290" s="1319"/>
      <c r="D290" s="1359"/>
      <c r="E290" s="1359"/>
      <c r="F290" s="1361"/>
      <c r="G290" s="1361"/>
      <c r="H290" s="1364"/>
      <c r="I290" s="1365"/>
      <c r="J290" s="1392"/>
      <c r="K290" s="1361"/>
      <c r="L290" s="1361"/>
      <c r="M290" s="1393"/>
      <c r="N290" s="1359"/>
      <c r="O290" s="1359"/>
      <c r="P290" s="392" t="s">
        <v>3863</v>
      </c>
      <c r="Q290" s="734" t="s">
        <v>3664</v>
      </c>
      <c r="R290" s="786">
        <v>500</v>
      </c>
      <c r="S290" s="804"/>
    </row>
    <row r="291" spans="1:19" ht="49.5">
      <c r="A291" s="1331"/>
      <c r="B291" s="1319"/>
      <c r="C291" s="1319"/>
      <c r="D291" s="1359"/>
      <c r="E291" s="1359"/>
      <c r="F291" s="1361"/>
      <c r="G291" s="1361"/>
      <c r="H291" s="1364"/>
      <c r="I291" s="1365"/>
      <c r="J291" s="1392"/>
      <c r="K291" s="1361"/>
      <c r="L291" s="1361"/>
      <c r="M291" s="1393"/>
      <c r="N291" s="1359"/>
      <c r="O291" s="1359"/>
      <c r="P291" s="392" t="s">
        <v>3864</v>
      </c>
      <c r="Q291" s="734" t="s">
        <v>3587</v>
      </c>
      <c r="R291" s="786">
        <v>15</v>
      </c>
      <c r="S291" s="804"/>
    </row>
    <row r="292" spans="1:19" ht="99">
      <c r="A292" s="1331"/>
      <c r="B292" s="1319"/>
      <c r="C292" s="1319"/>
      <c r="D292" s="1359"/>
      <c r="E292" s="1359"/>
      <c r="F292" s="1361"/>
      <c r="G292" s="1361"/>
      <c r="H292" s="1364"/>
      <c r="I292" s="1365"/>
      <c r="J292" s="1392"/>
      <c r="K292" s="1361"/>
      <c r="L292" s="1361"/>
      <c r="M292" s="1393"/>
      <c r="N292" s="1359"/>
      <c r="O292" s="1359"/>
      <c r="P292" s="392" t="s">
        <v>3865</v>
      </c>
      <c r="Q292" s="734" t="s">
        <v>3664</v>
      </c>
      <c r="R292" s="786">
        <v>500</v>
      </c>
      <c r="S292" s="804"/>
    </row>
    <row r="293" spans="1:19" ht="99">
      <c r="A293" s="1331"/>
      <c r="B293" s="1319"/>
      <c r="C293" s="1319"/>
      <c r="D293" s="1359"/>
      <c r="E293" s="1359"/>
      <c r="F293" s="1361"/>
      <c r="G293" s="1361"/>
      <c r="H293" s="1364"/>
      <c r="I293" s="1365"/>
      <c r="J293" s="1392"/>
      <c r="K293" s="1361"/>
      <c r="L293" s="1361"/>
      <c r="M293" s="1393"/>
      <c r="N293" s="1359"/>
      <c r="O293" s="1359"/>
      <c r="P293" s="392" t="s">
        <v>3866</v>
      </c>
      <c r="Q293" s="734" t="s">
        <v>3587</v>
      </c>
      <c r="R293" s="786">
        <v>10</v>
      </c>
      <c r="S293" s="804"/>
    </row>
    <row r="294" spans="1:19" ht="99">
      <c r="A294" s="1331"/>
      <c r="B294" s="1319"/>
      <c r="C294" s="1319"/>
      <c r="D294" s="1359"/>
      <c r="E294" s="1359"/>
      <c r="F294" s="1361"/>
      <c r="G294" s="1361"/>
      <c r="H294" s="1364"/>
      <c r="I294" s="1365"/>
      <c r="J294" s="1392"/>
      <c r="K294" s="1361"/>
      <c r="L294" s="1361"/>
      <c r="M294" s="1393"/>
      <c r="N294" s="1359"/>
      <c r="O294" s="1359"/>
      <c r="P294" s="392" t="s">
        <v>3867</v>
      </c>
      <c r="Q294" s="734" t="s">
        <v>3827</v>
      </c>
      <c r="R294" s="786">
        <v>7000</v>
      </c>
      <c r="S294" s="804"/>
    </row>
    <row r="295" spans="1:19" ht="99">
      <c r="A295" s="1332"/>
      <c r="B295" s="1319"/>
      <c r="C295" s="1319"/>
      <c r="D295" s="1360"/>
      <c r="E295" s="1360"/>
      <c r="F295" s="1361"/>
      <c r="G295" s="1361"/>
      <c r="H295" s="1366"/>
      <c r="I295" s="1367"/>
      <c r="J295" s="1392"/>
      <c r="K295" s="1361"/>
      <c r="L295" s="1361"/>
      <c r="M295" s="1393"/>
      <c r="N295" s="1360"/>
      <c r="O295" s="1360"/>
      <c r="P295" s="392" t="s">
        <v>3868</v>
      </c>
      <c r="Q295" s="734" t="s">
        <v>3587</v>
      </c>
      <c r="R295" s="792">
        <v>100</v>
      </c>
      <c r="S295" s="804"/>
    </row>
    <row r="296" spans="1:19" ht="49.5">
      <c r="A296" s="1330">
        <v>56</v>
      </c>
      <c r="B296" s="1319">
        <v>735096</v>
      </c>
      <c r="C296" s="1319" t="s">
        <v>3229</v>
      </c>
      <c r="D296" s="1326" t="s">
        <v>1350</v>
      </c>
      <c r="E296" s="1326" t="s">
        <v>3869</v>
      </c>
      <c r="F296" s="1319">
        <v>5</v>
      </c>
      <c r="G296" s="1319">
        <v>3</v>
      </c>
      <c r="H296" s="1320" t="s">
        <v>3742</v>
      </c>
      <c r="I296" s="1321"/>
      <c r="J296" s="1337" t="s">
        <v>3870</v>
      </c>
      <c r="K296" s="1319">
        <v>0</v>
      </c>
      <c r="L296" s="1319">
        <v>5</v>
      </c>
      <c r="M296" s="1336" t="s">
        <v>3871</v>
      </c>
      <c r="N296" s="1326" t="s">
        <v>1350</v>
      </c>
      <c r="O296" s="1326" t="s">
        <v>3869</v>
      </c>
      <c r="P296" s="392" t="s">
        <v>3872</v>
      </c>
      <c r="Q296" s="734" t="s">
        <v>3587</v>
      </c>
      <c r="R296" s="786">
        <v>0</v>
      </c>
      <c r="S296" s="804"/>
    </row>
    <row r="297" spans="1:19" ht="49.5">
      <c r="A297" s="1331"/>
      <c r="B297" s="1319"/>
      <c r="C297" s="1319"/>
      <c r="D297" s="1327"/>
      <c r="E297" s="1327"/>
      <c r="F297" s="1319"/>
      <c r="G297" s="1319"/>
      <c r="H297" s="1322"/>
      <c r="I297" s="1323"/>
      <c r="J297" s="1337"/>
      <c r="K297" s="1319"/>
      <c r="L297" s="1319"/>
      <c r="M297" s="1336"/>
      <c r="N297" s="1327"/>
      <c r="O297" s="1327"/>
      <c r="P297" s="392" t="s">
        <v>3873</v>
      </c>
      <c r="Q297" s="734" t="s">
        <v>3587</v>
      </c>
      <c r="R297" s="786">
        <v>500</v>
      </c>
      <c r="S297" s="804"/>
    </row>
    <row r="298" spans="1:19" ht="49.5">
      <c r="A298" s="1331"/>
      <c r="B298" s="1319"/>
      <c r="C298" s="1319"/>
      <c r="D298" s="1327"/>
      <c r="E298" s="1327"/>
      <c r="F298" s="1319"/>
      <c r="G298" s="1319"/>
      <c r="H298" s="1322"/>
      <c r="I298" s="1323"/>
      <c r="J298" s="1337"/>
      <c r="K298" s="1319"/>
      <c r="L298" s="1319"/>
      <c r="M298" s="1336"/>
      <c r="N298" s="1327"/>
      <c r="O298" s="1327"/>
      <c r="P298" s="392" t="s">
        <v>3874</v>
      </c>
      <c r="Q298" s="734" t="s">
        <v>3587</v>
      </c>
      <c r="R298" s="786">
        <v>500</v>
      </c>
      <c r="S298" s="773"/>
    </row>
    <row r="299" spans="1:19" ht="49.5">
      <c r="A299" s="1330">
        <v>57</v>
      </c>
      <c r="B299" s="1319">
        <v>735096</v>
      </c>
      <c r="C299" s="1319" t="s">
        <v>3229</v>
      </c>
      <c r="D299" s="878" t="s">
        <v>3875</v>
      </c>
      <c r="E299" s="1326" t="s">
        <v>1423</v>
      </c>
      <c r="F299" s="1319">
        <v>5</v>
      </c>
      <c r="G299" s="1319">
        <v>3</v>
      </c>
      <c r="H299" s="1320" t="s">
        <v>3742</v>
      </c>
      <c r="I299" s="1321"/>
      <c r="J299" s="1337" t="s">
        <v>3876</v>
      </c>
      <c r="K299" s="1319">
        <v>0</v>
      </c>
      <c r="L299" s="1319">
        <v>5</v>
      </c>
      <c r="M299" s="1336" t="s">
        <v>3877</v>
      </c>
      <c r="N299" s="878" t="s">
        <v>3875</v>
      </c>
      <c r="O299" s="1326" t="s">
        <v>1423</v>
      </c>
      <c r="P299" s="392" t="s">
        <v>3230</v>
      </c>
      <c r="Q299" s="734" t="s">
        <v>3587</v>
      </c>
      <c r="R299" s="786">
        <v>25</v>
      </c>
      <c r="S299" s="773"/>
    </row>
    <row r="300" spans="1:19" ht="49.5">
      <c r="A300" s="1331"/>
      <c r="B300" s="1319"/>
      <c r="C300" s="1319"/>
      <c r="D300" s="881"/>
      <c r="E300" s="1327"/>
      <c r="F300" s="1319"/>
      <c r="G300" s="1319"/>
      <c r="H300" s="1322"/>
      <c r="I300" s="1323"/>
      <c r="J300" s="1337"/>
      <c r="K300" s="1319"/>
      <c r="L300" s="1319"/>
      <c r="M300" s="1336"/>
      <c r="N300" s="881"/>
      <c r="O300" s="1327"/>
      <c r="P300" s="392" t="s">
        <v>3231</v>
      </c>
      <c r="Q300" s="734" t="s">
        <v>3587</v>
      </c>
      <c r="R300" s="786">
        <v>14</v>
      </c>
      <c r="S300" s="773"/>
    </row>
    <row r="301" spans="1:19" ht="49.5">
      <c r="A301" s="1331"/>
      <c r="B301" s="1319"/>
      <c r="C301" s="1319"/>
      <c r="D301" s="881"/>
      <c r="E301" s="1327"/>
      <c r="F301" s="1319"/>
      <c r="G301" s="1319"/>
      <c r="H301" s="1322"/>
      <c r="I301" s="1323"/>
      <c r="J301" s="1337"/>
      <c r="K301" s="1319"/>
      <c r="L301" s="1319"/>
      <c r="M301" s="1336"/>
      <c r="N301" s="881"/>
      <c r="O301" s="1327"/>
      <c r="P301" s="392" t="s">
        <v>3097</v>
      </c>
      <c r="Q301" s="734" t="s">
        <v>3587</v>
      </c>
      <c r="R301" s="786">
        <v>14</v>
      </c>
      <c r="S301" s="773"/>
    </row>
    <row r="302" spans="1:19" ht="24.75">
      <c r="A302" s="1331"/>
      <c r="B302" s="1319"/>
      <c r="C302" s="1319"/>
      <c r="D302" s="881"/>
      <c r="E302" s="1327"/>
      <c r="F302" s="1319"/>
      <c r="G302" s="1319"/>
      <c r="H302" s="1322"/>
      <c r="I302" s="1323"/>
      <c r="J302" s="1337"/>
      <c r="K302" s="1319"/>
      <c r="L302" s="1319"/>
      <c r="M302" s="1336"/>
      <c r="N302" s="881"/>
      <c r="O302" s="1327"/>
      <c r="P302" s="392" t="s">
        <v>3098</v>
      </c>
      <c r="Q302" s="734" t="s">
        <v>3587</v>
      </c>
      <c r="R302" s="792">
        <v>36</v>
      </c>
      <c r="S302" s="773"/>
    </row>
    <row r="303" spans="1:19" ht="49.5">
      <c r="A303" s="1332"/>
      <c r="B303" s="1319"/>
      <c r="C303" s="1319"/>
      <c r="D303" s="879"/>
      <c r="E303" s="1328"/>
      <c r="F303" s="1319"/>
      <c r="G303" s="1319"/>
      <c r="H303" s="1324"/>
      <c r="I303" s="1325"/>
      <c r="J303" s="1337"/>
      <c r="K303" s="1319"/>
      <c r="L303" s="1319"/>
      <c r="M303" s="1336"/>
      <c r="N303" s="879"/>
      <c r="O303" s="1328"/>
      <c r="P303" s="392" t="s">
        <v>3878</v>
      </c>
      <c r="Q303" s="734" t="s">
        <v>3587</v>
      </c>
      <c r="R303" s="786">
        <v>10</v>
      </c>
      <c r="S303" s="773"/>
    </row>
    <row r="304" spans="1:19" ht="74.25">
      <c r="A304" s="1338">
        <v>58</v>
      </c>
      <c r="B304" s="1299">
        <v>737302</v>
      </c>
      <c r="C304" s="878" t="s">
        <v>3879</v>
      </c>
      <c r="D304" s="1340" t="s">
        <v>3880</v>
      </c>
      <c r="E304" s="1343" t="s">
        <v>1361</v>
      </c>
      <c r="F304" s="878">
        <v>8</v>
      </c>
      <c r="G304" s="878">
        <v>3</v>
      </c>
      <c r="H304" s="1320" t="s">
        <v>3881</v>
      </c>
      <c r="I304" s="1321"/>
      <c r="J304" s="1333" t="s">
        <v>3882</v>
      </c>
      <c r="K304" s="878">
        <v>0</v>
      </c>
      <c r="L304" s="1346">
        <v>12</v>
      </c>
      <c r="M304" s="1346" t="s">
        <v>3871</v>
      </c>
      <c r="N304" s="1340" t="s">
        <v>3880</v>
      </c>
      <c r="O304" s="1343" t="s">
        <v>1361</v>
      </c>
      <c r="P304" s="791" t="s">
        <v>3705</v>
      </c>
      <c r="Q304" s="1340">
        <v>2020</v>
      </c>
      <c r="R304" s="805"/>
      <c r="S304" s="1346"/>
    </row>
    <row r="305" spans="1:19" ht="49.5">
      <c r="A305" s="1339"/>
      <c r="B305" s="1312"/>
      <c r="C305" s="881"/>
      <c r="D305" s="1341"/>
      <c r="E305" s="1344"/>
      <c r="F305" s="881"/>
      <c r="G305" s="881"/>
      <c r="H305" s="1322"/>
      <c r="I305" s="1323"/>
      <c r="J305" s="1334"/>
      <c r="K305" s="881"/>
      <c r="L305" s="1347"/>
      <c r="M305" s="1347"/>
      <c r="N305" s="1341"/>
      <c r="O305" s="1344"/>
      <c r="P305" s="791" t="s">
        <v>3883</v>
      </c>
      <c r="Q305" s="1341"/>
      <c r="R305" s="806"/>
      <c r="S305" s="1347"/>
    </row>
    <row r="306" spans="1:19" ht="49.5">
      <c r="A306" s="1339"/>
      <c r="B306" s="1312"/>
      <c r="C306" s="879"/>
      <c r="D306" s="1342"/>
      <c r="E306" s="1345"/>
      <c r="F306" s="881"/>
      <c r="G306" s="881"/>
      <c r="H306" s="1324"/>
      <c r="I306" s="1325"/>
      <c r="J306" s="1335"/>
      <c r="K306" s="881"/>
      <c r="L306" s="1347"/>
      <c r="M306" s="1347"/>
      <c r="N306" s="1342"/>
      <c r="O306" s="1345"/>
      <c r="P306" s="392" t="s">
        <v>3678</v>
      </c>
      <c r="Q306" s="1341"/>
      <c r="R306" s="790">
        <v>7</v>
      </c>
      <c r="S306" s="1400"/>
    </row>
    <row r="307" spans="1:19" ht="247.5">
      <c r="A307" s="1330">
        <v>59</v>
      </c>
      <c r="B307" s="1319">
        <v>739443</v>
      </c>
      <c r="C307" s="1319" t="s">
        <v>1432</v>
      </c>
      <c r="D307" s="1326" t="s">
        <v>1376</v>
      </c>
      <c r="E307" s="1326" t="s">
        <v>1376</v>
      </c>
      <c r="F307" s="1319">
        <v>6</v>
      </c>
      <c r="G307" s="1319">
        <v>1</v>
      </c>
      <c r="H307" s="1320" t="s">
        <v>3745</v>
      </c>
      <c r="I307" s="1321"/>
      <c r="J307" s="1337" t="s">
        <v>1433</v>
      </c>
      <c r="K307" s="1319">
        <v>0</v>
      </c>
      <c r="L307" s="1319">
        <v>6</v>
      </c>
      <c r="M307" s="1319" t="s">
        <v>3884</v>
      </c>
      <c r="N307" s="1326" t="s">
        <v>1376</v>
      </c>
      <c r="O307" s="1326" t="s">
        <v>1376</v>
      </c>
      <c r="P307" s="392" t="s">
        <v>1434</v>
      </c>
      <c r="Q307" s="734" t="s">
        <v>3664</v>
      </c>
      <c r="R307" s="786">
        <v>500</v>
      </c>
      <c r="S307" s="773"/>
    </row>
    <row r="308" spans="1:19" ht="99">
      <c r="A308" s="1332"/>
      <c r="B308" s="1319"/>
      <c r="C308" s="1319"/>
      <c r="D308" s="1328"/>
      <c r="E308" s="1328"/>
      <c r="F308" s="1319"/>
      <c r="G308" s="1319"/>
      <c r="H308" s="1324"/>
      <c r="I308" s="1325"/>
      <c r="J308" s="1337"/>
      <c r="K308" s="1319"/>
      <c r="L308" s="1319"/>
      <c r="M308" s="1319"/>
      <c r="N308" s="1328"/>
      <c r="O308" s="1328"/>
      <c r="P308" s="392" t="s">
        <v>3232</v>
      </c>
      <c r="Q308" s="734" t="s">
        <v>3587</v>
      </c>
      <c r="R308" s="786">
        <v>20</v>
      </c>
      <c r="S308" s="773"/>
    </row>
    <row r="309" spans="1:19" ht="74.25">
      <c r="A309" s="1330">
        <v>60</v>
      </c>
      <c r="B309" s="1319">
        <v>749877</v>
      </c>
      <c r="C309" s="1319" t="s">
        <v>1435</v>
      </c>
      <c r="D309" s="1326" t="s">
        <v>1361</v>
      </c>
      <c r="E309" s="1326" t="s">
        <v>1361</v>
      </c>
      <c r="F309" s="1319">
        <v>7</v>
      </c>
      <c r="G309" s="1319">
        <v>2</v>
      </c>
      <c r="H309" s="1320" t="s">
        <v>3885</v>
      </c>
      <c r="I309" s="1321"/>
      <c r="J309" s="1337" t="s">
        <v>1436</v>
      </c>
      <c r="K309" s="1319">
        <v>0</v>
      </c>
      <c r="L309" s="1319">
        <v>7</v>
      </c>
      <c r="M309" s="1336" t="s">
        <v>3886</v>
      </c>
      <c r="N309" s="1326" t="s">
        <v>1361</v>
      </c>
      <c r="O309" s="1326" t="s">
        <v>1361</v>
      </c>
      <c r="P309" s="392" t="s">
        <v>1437</v>
      </c>
      <c r="Q309" s="734" t="s">
        <v>3677</v>
      </c>
      <c r="R309" s="786">
        <v>1500</v>
      </c>
      <c r="S309" s="773"/>
    </row>
    <row r="310" spans="1:19" ht="148.5">
      <c r="A310" s="1331"/>
      <c r="B310" s="1319"/>
      <c r="C310" s="1319"/>
      <c r="D310" s="1327"/>
      <c r="E310" s="1327"/>
      <c r="F310" s="1319"/>
      <c r="G310" s="1319"/>
      <c r="H310" s="1322"/>
      <c r="I310" s="1323"/>
      <c r="J310" s="1337"/>
      <c r="K310" s="1319"/>
      <c r="L310" s="1319"/>
      <c r="M310" s="1336"/>
      <c r="N310" s="1327"/>
      <c r="O310" s="1327"/>
      <c r="P310" s="392" t="s">
        <v>3233</v>
      </c>
      <c r="Q310" s="734" t="s">
        <v>3587</v>
      </c>
      <c r="R310" s="786">
        <v>500</v>
      </c>
      <c r="S310" s="773"/>
    </row>
    <row r="311" spans="1:19" ht="49.5">
      <c r="A311" s="1331"/>
      <c r="B311" s="1319"/>
      <c r="C311" s="1319"/>
      <c r="D311" s="1327"/>
      <c r="E311" s="1327"/>
      <c r="F311" s="1319"/>
      <c r="G311" s="1319"/>
      <c r="H311" s="1322"/>
      <c r="I311" s="1323"/>
      <c r="J311" s="1337"/>
      <c r="K311" s="1319"/>
      <c r="L311" s="1319"/>
      <c r="M311" s="1336"/>
      <c r="N311" s="1327"/>
      <c r="O311" s="1327"/>
      <c r="P311" s="392" t="s">
        <v>3097</v>
      </c>
      <c r="Q311" s="734" t="s">
        <v>3587</v>
      </c>
      <c r="R311" s="786">
        <v>14</v>
      </c>
      <c r="S311" s="773"/>
    </row>
    <row r="312" spans="1:19" ht="24.75">
      <c r="A312" s="1331"/>
      <c r="B312" s="1319"/>
      <c r="C312" s="1319"/>
      <c r="D312" s="1327"/>
      <c r="E312" s="1327"/>
      <c r="F312" s="1319"/>
      <c r="G312" s="1319"/>
      <c r="H312" s="1322"/>
      <c r="I312" s="1323"/>
      <c r="J312" s="1337"/>
      <c r="K312" s="1319"/>
      <c r="L312" s="1319"/>
      <c r="M312" s="1336"/>
      <c r="N312" s="1327"/>
      <c r="O312" s="1327"/>
      <c r="P312" s="392" t="s">
        <v>3098</v>
      </c>
      <c r="Q312" s="734" t="s">
        <v>3587</v>
      </c>
      <c r="R312" s="792">
        <v>36</v>
      </c>
      <c r="S312" s="773"/>
    </row>
    <row r="313" spans="1:19" ht="49.5">
      <c r="A313" s="1332"/>
      <c r="B313" s="1319"/>
      <c r="C313" s="1319"/>
      <c r="D313" s="1328"/>
      <c r="E313" s="1328"/>
      <c r="F313" s="1319"/>
      <c r="G313" s="1319"/>
      <c r="H313" s="1324"/>
      <c r="I313" s="1325"/>
      <c r="J313" s="1337"/>
      <c r="K313" s="1319"/>
      <c r="L313" s="1319"/>
      <c r="M313" s="1336"/>
      <c r="N313" s="1328"/>
      <c r="O313" s="1328"/>
      <c r="P313" s="392" t="s">
        <v>3672</v>
      </c>
      <c r="Q313" s="734" t="s">
        <v>3587</v>
      </c>
      <c r="R313" s="786">
        <v>10</v>
      </c>
      <c r="S313" s="773"/>
    </row>
    <row r="314" spans="1:19" ht="99">
      <c r="A314" s="1330">
        <v>61</v>
      </c>
      <c r="B314" s="878">
        <v>742262</v>
      </c>
      <c r="C314" s="1319" t="s">
        <v>1401</v>
      </c>
      <c r="D314" s="1326" t="s">
        <v>1438</v>
      </c>
      <c r="E314" s="1326" t="s">
        <v>1439</v>
      </c>
      <c r="F314" s="1319">
        <v>6</v>
      </c>
      <c r="G314" s="1319">
        <v>1</v>
      </c>
      <c r="H314" s="1320" t="s">
        <v>3887</v>
      </c>
      <c r="I314" s="1321"/>
      <c r="J314" s="1333" t="s">
        <v>1440</v>
      </c>
      <c r="K314" s="1319">
        <v>0</v>
      </c>
      <c r="L314" s="1319">
        <v>6</v>
      </c>
      <c r="M314" s="1319" t="s">
        <v>3888</v>
      </c>
      <c r="N314" s="1326" t="s">
        <v>1438</v>
      </c>
      <c r="O314" s="1326" t="s">
        <v>1439</v>
      </c>
      <c r="P314" s="392" t="s">
        <v>1441</v>
      </c>
      <c r="Q314" s="734" t="s">
        <v>3663</v>
      </c>
      <c r="R314" s="786">
        <v>500</v>
      </c>
      <c r="S314" s="773"/>
    </row>
    <row r="315" spans="1:19" ht="49.5">
      <c r="A315" s="1331"/>
      <c r="B315" s="881"/>
      <c r="C315" s="1319"/>
      <c r="D315" s="1327"/>
      <c r="E315" s="1327"/>
      <c r="F315" s="1319"/>
      <c r="G315" s="1319"/>
      <c r="H315" s="1322"/>
      <c r="I315" s="1323"/>
      <c r="J315" s="1334"/>
      <c r="K315" s="1319"/>
      <c r="L315" s="1319"/>
      <c r="M315" s="1319"/>
      <c r="N315" s="1327"/>
      <c r="O315" s="1327"/>
      <c r="P315" s="392" t="s">
        <v>3022</v>
      </c>
      <c r="Q315" s="734" t="s">
        <v>3587</v>
      </c>
      <c r="R315" s="786">
        <v>50</v>
      </c>
      <c r="S315" s="773"/>
    </row>
    <row r="316" spans="1:19" ht="74.25">
      <c r="A316" s="1331"/>
      <c r="B316" s="881"/>
      <c r="C316" s="1319"/>
      <c r="D316" s="1327"/>
      <c r="E316" s="1327"/>
      <c r="F316" s="1319"/>
      <c r="G316" s="1319"/>
      <c r="H316" s="1322"/>
      <c r="I316" s="1323"/>
      <c r="J316" s="1334"/>
      <c r="K316" s="1319"/>
      <c r="L316" s="1319"/>
      <c r="M316" s="1319"/>
      <c r="N316" s="1327"/>
      <c r="O316" s="1327"/>
      <c r="P316" s="392" t="s">
        <v>3234</v>
      </c>
      <c r="Q316" s="734" t="s">
        <v>3587</v>
      </c>
      <c r="R316" s="792">
        <v>100</v>
      </c>
      <c r="S316" s="773"/>
    </row>
    <row r="317" spans="1:19" ht="49.5">
      <c r="A317" s="1331"/>
      <c r="B317" s="881"/>
      <c r="C317" s="1319"/>
      <c r="D317" s="1327"/>
      <c r="E317" s="1327"/>
      <c r="F317" s="1319"/>
      <c r="G317" s="1319"/>
      <c r="H317" s="1322"/>
      <c r="I317" s="1323"/>
      <c r="J317" s="1334"/>
      <c r="K317" s="1319"/>
      <c r="L317" s="1319"/>
      <c r="M317" s="1319"/>
      <c r="N317" s="1327"/>
      <c r="O317" s="1327"/>
      <c r="P317" s="392" t="s">
        <v>3678</v>
      </c>
      <c r="Q317" s="734" t="s">
        <v>3587</v>
      </c>
      <c r="R317" s="786">
        <v>10</v>
      </c>
      <c r="S317" s="773"/>
    </row>
    <row r="318" spans="1:19" ht="123.75">
      <c r="A318" s="1331"/>
      <c r="B318" s="881"/>
      <c r="C318" s="1319"/>
      <c r="D318" s="1327"/>
      <c r="E318" s="1327"/>
      <c r="F318" s="1319"/>
      <c r="G318" s="1319"/>
      <c r="H318" s="1322"/>
      <c r="I318" s="1323"/>
      <c r="J318" s="1334"/>
      <c r="K318" s="1319"/>
      <c r="L318" s="1319"/>
      <c r="M318" s="1319"/>
      <c r="N318" s="1327"/>
      <c r="O318" s="1327"/>
      <c r="P318" s="392" t="s">
        <v>3889</v>
      </c>
      <c r="Q318" s="734" t="s">
        <v>3664</v>
      </c>
      <c r="R318" s="786">
        <v>200</v>
      </c>
      <c r="S318" s="773"/>
    </row>
    <row r="319" spans="1:19" ht="148.5">
      <c r="A319" s="1332"/>
      <c r="B319" s="879"/>
      <c r="C319" s="1319"/>
      <c r="D319" s="1328"/>
      <c r="E319" s="1328"/>
      <c r="F319" s="1319"/>
      <c r="G319" s="1319"/>
      <c r="H319" s="1324"/>
      <c r="I319" s="1325"/>
      <c r="J319" s="1335"/>
      <c r="K319" s="1319"/>
      <c r="L319" s="1319"/>
      <c r="M319" s="1319"/>
      <c r="N319" s="1328"/>
      <c r="O319" s="1328"/>
      <c r="P319" s="392" t="s">
        <v>3890</v>
      </c>
      <c r="Q319" s="734" t="s">
        <v>3587</v>
      </c>
      <c r="R319" s="786">
        <v>200</v>
      </c>
      <c r="S319" s="773"/>
    </row>
    <row r="320" spans="1:19" ht="74.25">
      <c r="A320" s="1330">
        <v>62</v>
      </c>
      <c r="B320" s="878">
        <v>742262</v>
      </c>
      <c r="C320" s="1319" t="s">
        <v>1401</v>
      </c>
      <c r="D320" s="1326" t="s">
        <v>1442</v>
      </c>
      <c r="E320" s="1326" t="s">
        <v>1443</v>
      </c>
      <c r="F320" s="1319">
        <v>7</v>
      </c>
      <c r="G320" s="1319">
        <v>1</v>
      </c>
      <c r="H320" s="1320" t="s">
        <v>3891</v>
      </c>
      <c r="I320" s="1321"/>
      <c r="J320" s="1333" t="s">
        <v>1444</v>
      </c>
      <c r="K320" s="1319">
        <v>0</v>
      </c>
      <c r="L320" s="1319">
        <v>7</v>
      </c>
      <c r="M320" s="1336" t="s">
        <v>3892</v>
      </c>
      <c r="N320" s="1326" t="s">
        <v>1442</v>
      </c>
      <c r="O320" s="1326" t="s">
        <v>1443</v>
      </c>
      <c r="P320" s="392" t="s">
        <v>1445</v>
      </c>
      <c r="Q320" s="734" t="s">
        <v>3664</v>
      </c>
      <c r="R320" s="786">
        <v>500</v>
      </c>
      <c r="S320" s="773"/>
    </row>
    <row r="321" spans="1:19" ht="49.5">
      <c r="A321" s="1331"/>
      <c r="B321" s="881"/>
      <c r="C321" s="1319"/>
      <c r="D321" s="1327"/>
      <c r="E321" s="1327"/>
      <c r="F321" s="1319"/>
      <c r="G321" s="1319"/>
      <c r="H321" s="1322"/>
      <c r="I321" s="1323"/>
      <c r="J321" s="1334"/>
      <c r="K321" s="1319"/>
      <c r="L321" s="1319"/>
      <c r="M321" s="1336"/>
      <c r="N321" s="1327"/>
      <c r="O321" s="1327"/>
      <c r="P321" s="392" t="s">
        <v>3022</v>
      </c>
      <c r="Q321" s="734" t="s">
        <v>3587</v>
      </c>
      <c r="R321" s="786">
        <v>50</v>
      </c>
      <c r="S321" s="773"/>
    </row>
    <row r="322" spans="1:19" ht="49.5">
      <c r="A322" s="1331"/>
      <c r="B322" s="881"/>
      <c r="C322" s="1319"/>
      <c r="D322" s="1327"/>
      <c r="E322" s="1327"/>
      <c r="F322" s="1319"/>
      <c r="G322" s="1319"/>
      <c r="H322" s="1322"/>
      <c r="I322" s="1323"/>
      <c r="J322" s="1334"/>
      <c r="K322" s="1319"/>
      <c r="L322" s="1319"/>
      <c r="M322" s="1336"/>
      <c r="N322" s="1327"/>
      <c r="O322" s="1327"/>
      <c r="P322" s="392" t="s">
        <v>3697</v>
      </c>
      <c r="Q322" s="734" t="s">
        <v>3587</v>
      </c>
      <c r="R322" s="786">
        <v>10</v>
      </c>
      <c r="S322" s="773"/>
    </row>
    <row r="323" spans="1:19" ht="49.5">
      <c r="A323" s="1331"/>
      <c r="B323" s="881"/>
      <c r="C323" s="1319"/>
      <c r="D323" s="1327"/>
      <c r="E323" s="1327"/>
      <c r="F323" s="1319"/>
      <c r="G323" s="1319"/>
      <c r="H323" s="1322"/>
      <c r="I323" s="1323"/>
      <c r="J323" s="1334"/>
      <c r="K323" s="1319"/>
      <c r="L323" s="1319"/>
      <c r="M323" s="1336"/>
      <c r="N323" s="1327"/>
      <c r="O323" s="1327"/>
      <c r="P323" s="392" t="s">
        <v>3121</v>
      </c>
      <c r="Q323" s="734" t="s">
        <v>3587</v>
      </c>
      <c r="R323" s="786">
        <v>14</v>
      </c>
      <c r="S323" s="773"/>
    </row>
    <row r="324" spans="1:19" ht="24.75">
      <c r="A324" s="1331"/>
      <c r="B324" s="881"/>
      <c r="C324" s="1319"/>
      <c r="D324" s="1327"/>
      <c r="E324" s="1327"/>
      <c r="F324" s="1319"/>
      <c r="G324" s="1319"/>
      <c r="H324" s="1322"/>
      <c r="I324" s="1323"/>
      <c r="J324" s="1334"/>
      <c r="K324" s="1319"/>
      <c r="L324" s="1319"/>
      <c r="M324" s="1336"/>
      <c r="N324" s="1327"/>
      <c r="O324" s="1327"/>
      <c r="P324" s="392" t="s">
        <v>3118</v>
      </c>
      <c r="Q324" s="734" t="s">
        <v>3587</v>
      </c>
      <c r="R324" s="792">
        <v>36</v>
      </c>
      <c r="S324" s="773"/>
    </row>
    <row r="325" spans="1:19" ht="74.25">
      <c r="A325" s="1331"/>
      <c r="B325" s="881"/>
      <c r="C325" s="1319"/>
      <c r="D325" s="1327"/>
      <c r="E325" s="1327"/>
      <c r="F325" s="1319"/>
      <c r="G325" s="1319"/>
      <c r="H325" s="1322"/>
      <c r="I325" s="1323"/>
      <c r="J325" s="1334"/>
      <c r="K325" s="1319"/>
      <c r="L325" s="1319"/>
      <c r="M325" s="1336"/>
      <c r="N325" s="1327"/>
      <c r="O325" s="1327"/>
      <c r="P325" s="392" t="s">
        <v>3235</v>
      </c>
      <c r="Q325" s="734" t="s">
        <v>3587</v>
      </c>
      <c r="R325" s="792">
        <v>100</v>
      </c>
      <c r="S325" s="773"/>
    </row>
    <row r="326" spans="1:19" ht="74.25">
      <c r="A326" s="1332"/>
      <c r="B326" s="879"/>
      <c r="C326" s="1319"/>
      <c r="D326" s="1328"/>
      <c r="E326" s="1328"/>
      <c r="F326" s="1319"/>
      <c r="G326" s="1319"/>
      <c r="H326" s="1324"/>
      <c r="I326" s="1325"/>
      <c r="J326" s="1335"/>
      <c r="K326" s="1319"/>
      <c r="L326" s="1319"/>
      <c r="M326" s="1336"/>
      <c r="N326" s="1328"/>
      <c r="O326" s="1328"/>
      <c r="P326" s="392" t="s">
        <v>3236</v>
      </c>
      <c r="Q326" s="734" t="s">
        <v>3827</v>
      </c>
      <c r="R326" s="786">
        <v>7000</v>
      </c>
      <c r="S326" s="773"/>
    </row>
    <row r="327" spans="1:19" ht="74.25">
      <c r="A327" s="1330">
        <v>63</v>
      </c>
      <c r="B327" s="878">
        <v>742262</v>
      </c>
      <c r="C327" s="1319" t="s">
        <v>1401</v>
      </c>
      <c r="D327" s="1326" t="s">
        <v>1446</v>
      </c>
      <c r="E327" s="1326" t="s">
        <v>1447</v>
      </c>
      <c r="F327" s="1319">
        <v>5</v>
      </c>
      <c r="G327" s="1319">
        <v>1</v>
      </c>
      <c r="H327" s="1320" t="s">
        <v>3742</v>
      </c>
      <c r="I327" s="1321"/>
      <c r="J327" s="1333" t="s">
        <v>1448</v>
      </c>
      <c r="K327" s="1319">
        <v>0</v>
      </c>
      <c r="L327" s="1319">
        <v>6</v>
      </c>
      <c r="M327" s="1319" t="s">
        <v>3892</v>
      </c>
      <c r="N327" s="1326" t="s">
        <v>1446</v>
      </c>
      <c r="O327" s="1326" t="s">
        <v>1447</v>
      </c>
      <c r="P327" s="392" t="s">
        <v>1445</v>
      </c>
      <c r="Q327" s="734" t="s">
        <v>3587</v>
      </c>
      <c r="R327" s="786">
        <v>500</v>
      </c>
      <c r="S327" s="773"/>
    </row>
    <row r="328" spans="1:19" ht="49.5">
      <c r="A328" s="1331"/>
      <c r="B328" s="881"/>
      <c r="C328" s="1319"/>
      <c r="D328" s="1327"/>
      <c r="E328" s="1327"/>
      <c r="F328" s="1319"/>
      <c r="G328" s="1319"/>
      <c r="H328" s="1322"/>
      <c r="I328" s="1323"/>
      <c r="J328" s="1334"/>
      <c r="K328" s="1319"/>
      <c r="L328" s="1319"/>
      <c r="M328" s="1319"/>
      <c r="N328" s="1327"/>
      <c r="O328" s="1327"/>
      <c r="P328" s="392" t="s">
        <v>3022</v>
      </c>
      <c r="Q328" s="734" t="s">
        <v>3587</v>
      </c>
      <c r="R328" s="786">
        <v>50</v>
      </c>
      <c r="S328" s="773"/>
    </row>
    <row r="329" spans="1:19" ht="49.5">
      <c r="A329" s="1331"/>
      <c r="B329" s="881"/>
      <c r="C329" s="1319"/>
      <c r="D329" s="1327"/>
      <c r="E329" s="1327"/>
      <c r="F329" s="1319"/>
      <c r="G329" s="1319"/>
      <c r="H329" s="1322"/>
      <c r="I329" s="1323"/>
      <c r="J329" s="1334"/>
      <c r="K329" s="1319"/>
      <c r="L329" s="1319"/>
      <c r="M329" s="1319"/>
      <c r="N329" s="1327"/>
      <c r="O329" s="1327"/>
      <c r="P329" s="392" t="s">
        <v>3697</v>
      </c>
      <c r="Q329" s="734" t="s">
        <v>3587</v>
      </c>
      <c r="R329" s="786">
        <v>10</v>
      </c>
      <c r="S329" s="773"/>
    </row>
    <row r="330" spans="1:19" ht="49.5">
      <c r="A330" s="1331"/>
      <c r="B330" s="881"/>
      <c r="C330" s="1319"/>
      <c r="D330" s="1327"/>
      <c r="E330" s="1327"/>
      <c r="F330" s="1319"/>
      <c r="G330" s="1319"/>
      <c r="H330" s="1322"/>
      <c r="I330" s="1323"/>
      <c r="J330" s="1334"/>
      <c r="K330" s="1319"/>
      <c r="L330" s="1319"/>
      <c r="M330" s="1319"/>
      <c r="N330" s="1327"/>
      <c r="O330" s="1327"/>
      <c r="P330" s="392" t="s">
        <v>3121</v>
      </c>
      <c r="Q330" s="734" t="s">
        <v>3587</v>
      </c>
      <c r="R330" s="786">
        <v>14</v>
      </c>
      <c r="S330" s="773"/>
    </row>
    <row r="331" spans="1:19" ht="24.75">
      <c r="A331" s="1331"/>
      <c r="B331" s="881"/>
      <c r="C331" s="1319"/>
      <c r="D331" s="1327"/>
      <c r="E331" s="1327"/>
      <c r="F331" s="1319"/>
      <c r="G331" s="1319"/>
      <c r="H331" s="1322"/>
      <c r="I331" s="1323"/>
      <c r="J331" s="1334"/>
      <c r="K331" s="1319"/>
      <c r="L331" s="1319"/>
      <c r="M331" s="1319"/>
      <c r="N331" s="1327"/>
      <c r="O331" s="1327"/>
      <c r="P331" s="392" t="s">
        <v>3118</v>
      </c>
      <c r="Q331" s="734" t="s">
        <v>3587</v>
      </c>
      <c r="R331" s="792">
        <v>36</v>
      </c>
      <c r="S331" s="773"/>
    </row>
    <row r="332" spans="1:19" ht="74.25">
      <c r="A332" s="1331"/>
      <c r="B332" s="881"/>
      <c r="C332" s="1319"/>
      <c r="D332" s="1327"/>
      <c r="E332" s="1327"/>
      <c r="F332" s="1319"/>
      <c r="G332" s="1319"/>
      <c r="H332" s="1322"/>
      <c r="I332" s="1323"/>
      <c r="J332" s="1334"/>
      <c r="K332" s="1319"/>
      <c r="L332" s="1319"/>
      <c r="M332" s="1319"/>
      <c r="N332" s="1327"/>
      <c r="O332" s="1327"/>
      <c r="P332" s="392" t="s">
        <v>3235</v>
      </c>
      <c r="Q332" s="734" t="s">
        <v>3587</v>
      </c>
      <c r="R332" s="792">
        <v>100</v>
      </c>
      <c r="S332" s="773"/>
    </row>
    <row r="333" spans="1:19" ht="74.25">
      <c r="A333" s="1332"/>
      <c r="B333" s="879"/>
      <c r="C333" s="1319"/>
      <c r="D333" s="1328"/>
      <c r="E333" s="1328"/>
      <c r="F333" s="1319"/>
      <c r="G333" s="1319"/>
      <c r="H333" s="1324"/>
      <c r="I333" s="1325"/>
      <c r="J333" s="1335"/>
      <c r="K333" s="1319"/>
      <c r="L333" s="1319"/>
      <c r="M333" s="1319"/>
      <c r="N333" s="1328"/>
      <c r="O333" s="1328"/>
      <c r="P333" s="392" t="s">
        <v>3237</v>
      </c>
      <c r="Q333" s="734" t="s">
        <v>3827</v>
      </c>
      <c r="R333" s="786">
        <v>7000</v>
      </c>
      <c r="S333" s="773"/>
    </row>
    <row r="334" spans="1:19" ht="49.5">
      <c r="A334" s="1313">
        <v>64</v>
      </c>
      <c r="B334" s="1329">
        <v>740212</v>
      </c>
      <c r="C334" s="1319" t="s">
        <v>317</v>
      </c>
      <c r="D334" s="1326" t="s">
        <v>1449</v>
      </c>
      <c r="E334" s="1326" t="s">
        <v>1450</v>
      </c>
      <c r="F334" s="1319">
        <v>6</v>
      </c>
      <c r="G334" s="1319">
        <v>2</v>
      </c>
      <c r="H334" s="1320" t="s">
        <v>3893</v>
      </c>
      <c r="I334" s="1321"/>
      <c r="J334" s="1337" t="s">
        <v>1451</v>
      </c>
      <c r="K334" s="1319">
        <v>0</v>
      </c>
      <c r="L334" s="1319">
        <v>6</v>
      </c>
      <c r="M334" s="1319" t="s">
        <v>3894</v>
      </c>
      <c r="N334" s="1326" t="s">
        <v>1449</v>
      </c>
      <c r="O334" s="1326" t="s">
        <v>1450</v>
      </c>
      <c r="P334" s="392" t="s">
        <v>1452</v>
      </c>
      <c r="Q334" s="734" t="s">
        <v>3587</v>
      </c>
      <c r="R334" s="786">
        <v>800</v>
      </c>
      <c r="S334" s="731"/>
    </row>
    <row r="335" spans="1:19" ht="173.25">
      <c r="A335" s="1314"/>
      <c r="B335" s="1329"/>
      <c r="C335" s="1319"/>
      <c r="D335" s="1327"/>
      <c r="E335" s="1327"/>
      <c r="F335" s="1319"/>
      <c r="G335" s="1319"/>
      <c r="H335" s="1322"/>
      <c r="I335" s="1323"/>
      <c r="J335" s="1337"/>
      <c r="K335" s="1319"/>
      <c r="L335" s="1319"/>
      <c r="M335" s="1319"/>
      <c r="N335" s="1327"/>
      <c r="O335" s="1327"/>
      <c r="P335" s="392" t="s">
        <v>1453</v>
      </c>
      <c r="Q335" s="734" t="s">
        <v>3587</v>
      </c>
      <c r="R335" s="786">
        <v>500</v>
      </c>
      <c r="S335" s="731"/>
    </row>
    <row r="336" spans="1:19" ht="74.25">
      <c r="A336" s="1314"/>
      <c r="B336" s="1329"/>
      <c r="C336" s="1319"/>
      <c r="D336" s="1327"/>
      <c r="E336" s="1327"/>
      <c r="F336" s="1319"/>
      <c r="G336" s="1319"/>
      <c r="H336" s="1322"/>
      <c r="I336" s="1323"/>
      <c r="J336" s="1337"/>
      <c r="K336" s="1319"/>
      <c r="L336" s="1319"/>
      <c r="M336" s="1319"/>
      <c r="N336" s="1327"/>
      <c r="O336" s="1327"/>
      <c r="P336" s="392" t="s">
        <v>3238</v>
      </c>
      <c r="Q336" s="734" t="s">
        <v>3587</v>
      </c>
      <c r="R336" s="792">
        <v>100</v>
      </c>
      <c r="S336" s="731"/>
    </row>
    <row r="337" spans="1:19" ht="99">
      <c r="A337" s="1314"/>
      <c r="B337" s="1329"/>
      <c r="C337" s="1319"/>
      <c r="D337" s="1327"/>
      <c r="E337" s="1327"/>
      <c r="F337" s="1319"/>
      <c r="G337" s="1319"/>
      <c r="H337" s="1322"/>
      <c r="I337" s="1323"/>
      <c r="J337" s="1337"/>
      <c r="K337" s="1319"/>
      <c r="L337" s="1319"/>
      <c r="M337" s="1319"/>
      <c r="N337" s="1327"/>
      <c r="O337" s="1327"/>
      <c r="P337" s="392" t="s">
        <v>3239</v>
      </c>
      <c r="Q337" s="734" t="s">
        <v>3587</v>
      </c>
      <c r="R337" s="786">
        <v>14</v>
      </c>
      <c r="S337" s="731"/>
    </row>
    <row r="338" spans="1:19" ht="49.5">
      <c r="A338" s="1314"/>
      <c r="B338" s="1329"/>
      <c r="C338" s="1319"/>
      <c r="D338" s="1327"/>
      <c r="E338" s="1327"/>
      <c r="F338" s="1319"/>
      <c r="G338" s="1319"/>
      <c r="H338" s="1322"/>
      <c r="I338" s="1323"/>
      <c r="J338" s="1337"/>
      <c r="K338" s="1319"/>
      <c r="L338" s="1319"/>
      <c r="M338" s="1319"/>
      <c r="N338" s="1327"/>
      <c r="O338" s="1327"/>
      <c r="P338" s="392" t="s">
        <v>3137</v>
      </c>
      <c r="Q338" s="734" t="s">
        <v>3587</v>
      </c>
      <c r="R338" s="786">
        <v>14</v>
      </c>
      <c r="S338" s="731"/>
    </row>
    <row r="339" spans="1:19" ht="24.75">
      <c r="A339" s="1314"/>
      <c r="B339" s="1329"/>
      <c r="C339" s="1319"/>
      <c r="D339" s="1327"/>
      <c r="E339" s="1327"/>
      <c r="F339" s="1319"/>
      <c r="G339" s="1319"/>
      <c r="H339" s="1322"/>
      <c r="I339" s="1323"/>
      <c r="J339" s="1337"/>
      <c r="K339" s="1319"/>
      <c r="L339" s="1319"/>
      <c r="M339" s="1319"/>
      <c r="N339" s="1327"/>
      <c r="O339" s="1327"/>
      <c r="P339" s="392" t="s">
        <v>3240</v>
      </c>
      <c r="Q339" s="734" t="s">
        <v>3587</v>
      </c>
      <c r="R339" s="792">
        <v>36</v>
      </c>
      <c r="S339" s="731"/>
    </row>
    <row r="340" spans="1:19" ht="49.5">
      <c r="A340" s="1314"/>
      <c r="B340" s="1329"/>
      <c r="C340" s="1319"/>
      <c r="D340" s="1327"/>
      <c r="E340" s="1327"/>
      <c r="F340" s="1319"/>
      <c r="G340" s="1319"/>
      <c r="H340" s="1322"/>
      <c r="I340" s="1323"/>
      <c r="J340" s="1337"/>
      <c r="K340" s="1319"/>
      <c r="L340" s="1319"/>
      <c r="M340" s="1319"/>
      <c r="N340" s="1327"/>
      <c r="O340" s="1327"/>
      <c r="P340" s="392" t="s">
        <v>3895</v>
      </c>
      <c r="Q340" s="734" t="s">
        <v>3587</v>
      </c>
      <c r="R340" s="786">
        <v>10</v>
      </c>
      <c r="S340" s="731"/>
    </row>
    <row r="341" spans="1:19" ht="74.25">
      <c r="A341" s="1315"/>
      <c r="B341" s="1329"/>
      <c r="C341" s="1319"/>
      <c r="D341" s="1328"/>
      <c r="E341" s="1328"/>
      <c r="F341" s="1319"/>
      <c r="G341" s="1319"/>
      <c r="H341" s="1324"/>
      <c r="I341" s="1325"/>
      <c r="J341" s="1337"/>
      <c r="K341" s="1319"/>
      <c r="L341" s="1319"/>
      <c r="M341" s="1319"/>
      <c r="N341" s="1328"/>
      <c r="O341" s="1328"/>
      <c r="P341" s="392" t="s">
        <v>3241</v>
      </c>
      <c r="Q341" s="734" t="s">
        <v>3587</v>
      </c>
      <c r="R341" s="786">
        <v>5</v>
      </c>
      <c r="S341" s="731"/>
    </row>
    <row r="342" spans="1:19" ht="74.25">
      <c r="A342" s="1313">
        <v>65</v>
      </c>
      <c r="B342" s="1329">
        <v>742262</v>
      </c>
      <c r="C342" s="1319" t="s">
        <v>1401</v>
      </c>
      <c r="D342" s="1326" t="s">
        <v>1368</v>
      </c>
      <c r="E342" s="1326" t="s">
        <v>1327</v>
      </c>
      <c r="F342" s="1319">
        <v>5</v>
      </c>
      <c r="G342" s="1319">
        <v>0</v>
      </c>
      <c r="H342" s="1320" t="s">
        <v>3896</v>
      </c>
      <c r="I342" s="1321"/>
      <c r="J342" s="1337" t="s">
        <v>1454</v>
      </c>
      <c r="K342" s="1319">
        <v>0</v>
      </c>
      <c r="L342" s="1319">
        <v>5</v>
      </c>
      <c r="M342" s="1336" t="s">
        <v>1410</v>
      </c>
      <c r="N342" s="1326" t="s">
        <v>1368</v>
      </c>
      <c r="O342" s="1326" t="s">
        <v>1327</v>
      </c>
      <c r="P342" s="392" t="s">
        <v>1455</v>
      </c>
      <c r="Q342" s="734" t="s">
        <v>3587</v>
      </c>
      <c r="R342" s="786">
        <v>500</v>
      </c>
      <c r="S342" s="731"/>
    </row>
    <row r="343" spans="1:19" ht="49.5">
      <c r="A343" s="1314"/>
      <c r="B343" s="1329"/>
      <c r="C343" s="1319"/>
      <c r="D343" s="1327"/>
      <c r="E343" s="1327"/>
      <c r="F343" s="1319"/>
      <c r="G343" s="1319"/>
      <c r="H343" s="1322"/>
      <c r="I343" s="1323"/>
      <c r="J343" s="1337"/>
      <c r="K343" s="1319"/>
      <c r="L343" s="1319"/>
      <c r="M343" s="1336"/>
      <c r="N343" s="1327"/>
      <c r="O343" s="1327"/>
      <c r="P343" s="392" t="s">
        <v>3897</v>
      </c>
      <c r="Q343" s="734" t="s">
        <v>3587</v>
      </c>
      <c r="R343" s="786">
        <v>10</v>
      </c>
      <c r="S343" s="731"/>
    </row>
    <row r="344" spans="1:19" ht="74.25">
      <c r="A344" s="1315"/>
      <c r="B344" s="1329"/>
      <c r="C344" s="1319"/>
      <c r="D344" s="1328"/>
      <c r="E344" s="1328"/>
      <c r="F344" s="1319"/>
      <c r="G344" s="1319"/>
      <c r="H344" s="1324"/>
      <c r="I344" s="1325"/>
      <c r="J344" s="1337"/>
      <c r="K344" s="1319"/>
      <c r="L344" s="1319"/>
      <c r="M344" s="1336"/>
      <c r="N344" s="1328"/>
      <c r="O344" s="1328"/>
      <c r="P344" s="392" t="s">
        <v>3242</v>
      </c>
      <c r="Q344" s="734" t="s">
        <v>3587</v>
      </c>
      <c r="R344" s="786">
        <v>36</v>
      </c>
      <c r="S344" s="731"/>
    </row>
    <row r="345" spans="1:19" ht="123.75">
      <c r="A345" s="1313">
        <v>66</v>
      </c>
      <c r="B345" s="1316">
        <v>741840</v>
      </c>
      <c r="C345" s="1319" t="s">
        <v>185</v>
      </c>
      <c r="D345" s="1319" t="s">
        <v>1458</v>
      </c>
      <c r="E345" s="1319" t="s">
        <v>1459</v>
      </c>
      <c r="F345" s="1319">
        <v>4</v>
      </c>
      <c r="G345" s="1319">
        <v>1</v>
      </c>
      <c r="H345" s="1320" t="s">
        <v>3898</v>
      </c>
      <c r="I345" s="1321"/>
      <c r="J345" s="1333" t="s">
        <v>1460</v>
      </c>
      <c r="K345" s="878">
        <v>0</v>
      </c>
      <c r="L345" s="878">
        <v>5</v>
      </c>
      <c r="M345" s="1419" t="s">
        <v>3899</v>
      </c>
      <c r="N345" s="1319" t="s">
        <v>1458</v>
      </c>
      <c r="O345" s="1319" t="s">
        <v>1459</v>
      </c>
      <c r="P345" s="392" t="s">
        <v>1461</v>
      </c>
      <c r="Q345" s="734" t="s">
        <v>3587</v>
      </c>
      <c r="R345" s="786">
        <v>600</v>
      </c>
      <c r="S345" s="731"/>
    </row>
    <row r="346" spans="1:19" ht="49.5">
      <c r="A346" s="1314"/>
      <c r="B346" s="1317"/>
      <c r="C346" s="1319"/>
      <c r="D346" s="1319"/>
      <c r="E346" s="1319"/>
      <c r="F346" s="1319"/>
      <c r="G346" s="1319"/>
      <c r="H346" s="1322"/>
      <c r="I346" s="1323"/>
      <c r="J346" s="1334"/>
      <c r="K346" s="881"/>
      <c r="L346" s="881"/>
      <c r="M346" s="1420"/>
      <c r="N346" s="1319"/>
      <c r="O346" s="1319"/>
      <c r="P346" s="392" t="s">
        <v>3674</v>
      </c>
      <c r="Q346" s="734" t="s">
        <v>3587</v>
      </c>
      <c r="R346" s="786">
        <v>15</v>
      </c>
      <c r="S346" s="731"/>
    </row>
    <row r="347" spans="1:19" ht="24.75">
      <c r="A347" s="1314"/>
      <c r="B347" s="1317"/>
      <c r="C347" s="1319"/>
      <c r="D347" s="1319"/>
      <c r="E347" s="1319"/>
      <c r="F347" s="1319"/>
      <c r="G347" s="1319"/>
      <c r="H347" s="1322"/>
      <c r="I347" s="1323"/>
      <c r="J347" s="1334"/>
      <c r="K347" s="881"/>
      <c r="L347" s="881"/>
      <c r="M347" s="1420"/>
      <c r="N347" s="1319"/>
      <c r="O347" s="1319"/>
      <c r="P347" s="392" t="s">
        <v>3243</v>
      </c>
      <c r="Q347" s="734" t="s">
        <v>3587</v>
      </c>
      <c r="R347" s="792">
        <v>36</v>
      </c>
      <c r="S347" s="731"/>
    </row>
    <row r="348" spans="1:19" ht="49.5">
      <c r="A348" s="1315"/>
      <c r="B348" s="1318"/>
      <c r="C348" s="1319"/>
      <c r="D348" s="1319"/>
      <c r="E348" s="1319"/>
      <c r="F348" s="1319"/>
      <c r="G348" s="1319"/>
      <c r="H348" s="1324"/>
      <c r="I348" s="1325"/>
      <c r="J348" s="1335"/>
      <c r="K348" s="879"/>
      <c r="L348" s="879"/>
      <c r="M348" s="1421"/>
      <c r="N348" s="1319"/>
      <c r="O348" s="1319"/>
      <c r="P348" s="392" t="s">
        <v>3121</v>
      </c>
      <c r="Q348" s="734" t="s">
        <v>3587</v>
      </c>
      <c r="R348" s="786">
        <v>14</v>
      </c>
      <c r="S348" s="731"/>
    </row>
    <row r="349" spans="1:19" ht="49.5">
      <c r="A349" s="1397">
        <v>67</v>
      </c>
      <c r="B349" s="1326" t="s">
        <v>2047</v>
      </c>
      <c r="C349" s="878" t="s">
        <v>185</v>
      </c>
      <c r="D349" s="1343" t="s">
        <v>3900</v>
      </c>
      <c r="E349" s="1343" t="s">
        <v>3901</v>
      </c>
      <c r="F349" s="878">
        <v>3</v>
      </c>
      <c r="G349" s="878">
        <v>2</v>
      </c>
      <c r="H349" s="1320" t="s">
        <v>3533</v>
      </c>
      <c r="I349" s="1321"/>
      <c r="J349" s="1333" t="s">
        <v>3187</v>
      </c>
      <c r="K349" s="1346">
        <v>0</v>
      </c>
      <c r="L349" s="1346">
        <v>5</v>
      </c>
      <c r="M349" s="1346" t="s">
        <v>3902</v>
      </c>
      <c r="N349" s="1343" t="s">
        <v>3900</v>
      </c>
      <c r="O349" s="1343" t="s">
        <v>3901</v>
      </c>
      <c r="P349" s="392" t="s">
        <v>3106</v>
      </c>
      <c r="Q349" s="1417">
        <v>2020</v>
      </c>
      <c r="R349" s="790">
        <v>14</v>
      </c>
      <c r="S349" s="1346"/>
    </row>
    <row r="350" spans="1:19" ht="24.75">
      <c r="A350" s="1398"/>
      <c r="B350" s="1327"/>
      <c r="C350" s="881"/>
      <c r="D350" s="1344"/>
      <c r="E350" s="1344"/>
      <c r="F350" s="881"/>
      <c r="G350" s="881"/>
      <c r="H350" s="1322"/>
      <c r="I350" s="1323"/>
      <c r="J350" s="1334"/>
      <c r="K350" s="1347"/>
      <c r="L350" s="1347"/>
      <c r="M350" s="1347"/>
      <c r="N350" s="1344"/>
      <c r="O350" s="1344"/>
      <c r="P350" s="392" t="s">
        <v>3103</v>
      </c>
      <c r="Q350" s="1418"/>
      <c r="R350" s="790">
        <v>30</v>
      </c>
      <c r="S350" s="1400"/>
    </row>
    <row r="351" spans="1:19" ht="74.25">
      <c r="A351" s="1313">
        <v>68</v>
      </c>
      <c r="B351" s="1316">
        <v>736014</v>
      </c>
      <c r="C351" s="1319" t="s">
        <v>1462</v>
      </c>
      <c r="D351" s="1320" t="s">
        <v>3903</v>
      </c>
      <c r="E351" s="1321"/>
      <c r="F351" s="1319">
        <v>4</v>
      </c>
      <c r="G351" s="878">
        <v>1</v>
      </c>
      <c r="H351" s="1320" t="s">
        <v>3545</v>
      </c>
      <c r="I351" s="1321"/>
      <c r="J351" s="1333" t="s">
        <v>1463</v>
      </c>
      <c r="K351" s="878">
        <v>0</v>
      </c>
      <c r="L351" s="878">
        <v>8</v>
      </c>
      <c r="M351" s="878" t="s">
        <v>3904</v>
      </c>
      <c r="N351" s="1320" t="s">
        <v>3903</v>
      </c>
      <c r="O351" s="1321"/>
      <c r="P351" s="392" t="s">
        <v>1464</v>
      </c>
      <c r="Q351" s="734" t="s">
        <v>3587</v>
      </c>
      <c r="R351" s="786">
        <v>15</v>
      </c>
      <c r="S351" s="731"/>
    </row>
    <row r="352" spans="1:19" ht="49.5">
      <c r="A352" s="1314"/>
      <c r="B352" s="1317"/>
      <c r="C352" s="1319"/>
      <c r="D352" s="1322"/>
      <c r="E352" s="1323"/>
      <c r="F352" s="1319"/>
      <c r="G352" s="881"/>
      <c r="H352" s="1322"/>
      <c r="I352" s="1323"/>
      <c r="J352" s="1334"/>
      <c r="K352" s="881"/>
      <c r="L352" s="881"/>
      <c r="M352" s="881"/>
      <c r="N352" s="1322"/>
      <c r="O352" s="1323"/>
      <c r="P352" s="392" t="s">
        <v>3905</v>
      </c>
      <c r="Q352" s="734" t="s">
        <v>3587</v>
      </c>
      <c r="R352" s="786">
        <v>10</v>
      </c>
      <c r="S352" s="731"/>
    </row>
    <row r="353" spans="1:19" ht="24.75">
      <c r="A353" s="1314"/>
      <c r="B353" s="1317"/>
      <c r="C353" s="1319"/>
      <c r="D353" s="1322"/>
      <c r="E353" s="1323"/>
      <c r="F353" s="1319"/>
      <c r="G353" s="881"/>
      <c r="H353" s="1322"/>
      <c r="I353" s="1323"/>
      <c r="J353" s="1334"/>
      <c r="K353" s="881"/>
      <c r="L353" s="881"/>
      <c r="M353" s="881"/>
      <c r="N353" s="1322"/>
      <c r="O353" s="1323"/>
      <c r="P353" s="392" t="s">
        <v>3108</v>
      </c>
      <c r="Q353" s="734" t="s">
        <v>3587</v>
      </c>
      <c r="R353" s="792">
        <v>36</v>
      </c>
      <c r="S353" s="731"/>
    </row>
    <row r="354" spans="1:19" ht="49.5">
      <c r="A354" s="1315"/>
      <c r="B354" s="1318"/>
      <c r="C354" s="1319"/>
      <c r="D354" s="1324"/>
      <c r="E354" s="1325"/>
      <c r="F354" s="1319"/>
      <c r="G354" s="879"/>
      <c r="H354" s="1324"/>
      <c r="I354" s="1325"/>
      <c r="J354" s="1335"/>
      <c r="K354" s="879"/>
      <c r="L354" s="879"/>
      <c r="M354" s="879"/>
      <c r="N354" s="1324"/>
      <c r="O354" s="1325"/>
      <c r="P354" s="392" t="s">
        <v>3121</v>
      </c>
      <c r="Q354" s="734" t="s">
        <v>3587</v>
      </c>
      <c r="R354" s="786">
        <v>14</v>
      </c>
      <c r="S354" s="731"/>
    </row>
    <row r="355" spans="1:19" ht="74.25">
      <c r="A355" s="1313">
        <v>69</v>
      </c>
      <c r="B355" s="1316">
        <v>742735</v>
      </c>
      <c r="C355" s="878" t="s">
        <v>1465</v>
      </c>
      <c r="D355" s="1320" t="s">
        <v>1456</v>
      </c>
      <c r="E355" s="1320" t="s">
        <v>1456</v>
      </c>
      <c r="F355" s="878">
        <v>4</v>
      </c>
      <c r="G355" s="878">
        <v>0</v>
      </c>
      <c r="H355" s="1320" t="s">
        <v>3568</v>
      </c>
      <c r="I355" s="1321"/>
      <c r="J355" s="1333" t="s">
        <v>1466</v>
      </c>
      <c r="K355" s="878">
        <v>0</v>
      </c>
      <c r="L355" s="878">
        <v>6</v>
      </c>
      <c r="M355" s="1419" t="s">
        <v>1410</v>
      </c>
      <c r="N355" s="1320" t="s">
        <v>1456</v>
      </c>
      <c r="O355" s="1320" t="s">
        <v>1456</v>
      </c>
      <c r="P355" s="392" t="s">
        <v>1457</v>
      </c>
      <c r="Q355" s="734" t="s">
        <v>3587</v>
      </c>
      <c r="R355" s="786">
        <v>500</v>
      </c>
      <c r="S355" s="731"/>
    </row>
    <row r="356" spans="1:19" ht="74.25">
      <c r="A356" s="1314"/>
      <c r="B356" s="1317"/>
      <c r="C356" s="881"/>
      <c r="D356" s="1322"/>
      <c r="E356" s="1322"/>
      <c r="F356" s="881"/>
      <c r="G356" s="881"/>
      <c r="H356" s="1322"/>
      <c r="I356" s="1323"/>
      <c r="J356" s="1334"/>
      <c r="K356" s="881"/>
      <c r="L356" s="881"/>
      <c r="M356" s="1420"/>
      <c r="N356" s="1322"/>
      <c r="O356" s="1322"/>
      <c r="P356" s="392" t="s">
        <v>3244</v>
      </c>
      <c r="Q356" s="734" t="s">
        <v>3827</v>
      </c>
      <c r="R356" s="786">
        <v>7000</v>
      </c>
      <c r="S356" s="731"/>
    </row>
    <row r="357" spans="1:19" ht="49.5">
      <c r="A357" s="1314"/>
      <c r="B357" s="1317"/>
      <c r="C357" s="881"/>
      <c r="D357" s="1322"/>
      <c r="E357" s="1322"/>
      <c r="F357" s="881"/>
      <c r="G357" s="881"/>
      <c r="H357" s="1322"/>
      <c r="I357" s="1323"/>
      <c r="J357" s="1334"/>
      <c r="K357" s="881"/>
      <c r="L357" s="881"/>
      <c r="M357" s="1420"/>
      <c r="N357" s="1322"/>
      <c r="O357" s="1322"/>
      <c r="P357" s="392" t="s">
        <v>3697</v>
      </c>
      <c r="Q357" s="734" t="s">
        <v>3587</v>
      </c>
      <c r="R357" s="786">
        <v>10</v>
      </c>
      <c r="S357" s="731"/>
    </row>
    <row r="358" spans="1:19" ht="24.75">
      <c r="A358" s="1314"/>
      <c r="B358" s="1317"/>
      <c r="C358" s="881"/>
      <c r="D358" s="1322"/>
      <c r="E358" s="1322"/>
      <c r="F358" s="881"/>
      <c r="G358" s="881"/>
      <c r="H358" s="1322"/>
      <c r="I358" s="1323"/>
      <c r="J358" s="1334"/>
      <c r="K358" s="881"/>
      <c r="L358" s="881"/>
      <c r="M358" s="1420"/>
      <c r="N358" s="1322"/>
      <c r="O358" s="1322"/>
      <c r="P358" s="392" t="s">
        <v>3098</v>
      </c>
      <c r="Q358" s="734" t="s">
        <v>3587</v>
      </c>
      <c r="R358" s="792">
        <v>36</v>
      </c>
      <c r="S358" s="731"/>
    </row>
    <row r="359" spans="1:19" ht="49.5">
      <c r="A359" s="1315"/>
      <c r="B359" s="1318"/>
      <c r="C359" s="879"/>
      <c r="D359" s="1324"/>
      <c r="E359" s="1324"/>
      <c r="F359" s="879"/>
      <c r="G359" s="879"/>
      <c r="H359" s="1324"/>
      <c r="I359" s="1325"/>
      <c r="J359" s="1335"/>
      <c r="K359" s="879"/>
      <c r="L359" s="879"/>
      <c r="M359" s="1421"/>
      <c r="N359" s="1324"/>
      <c r="O359" s="1324"/>
      <c r="P359" s="392" t="s">
        <v>3137</v>
      </c>
      <c r="Q359" s="734" t="s">
        <v>3587</v>
      </c>
      <c r="R359" s="786">
        <v>14</v>
      </c>
      <c r="S359" s="731"/>
    </row>
    <row r="360" spans="1:19" ht="24.75">
      <c r="A360" s="807"/>
      <c r="B360" s="808"/>
      <c r="C360" s="809" t="s">
        <v>1312</v>
      </c>
      <c r="D360" s="809"/>
      <c r="E360" s="809"/>
      <c r="F360" s="809">
        <f>SUM(F55:F359)</f>
        <v>349</v>
      </c>
      <c r="G360" s="809">
        <f>SUM(G55:G359)</f>
        <v>137</v>
      </c>
      <c r="H360" s="809"/>
      <c r="I360" s="809"/>
      <c r="J360" s="810"/>
      <c r="K360" s="809">
        <f>SUM(K55:K359)</f>
        <v>13</v>
      </c>
      <c r="L360" s="809">
        <f>SUM(L55:L359)</f>
        <v>416</v>
      </c>
      <c r="M360" s="811"/>
      <c r="N360" s="809"/>
      <c r="O360" s="809"/>
      <c r="P360" s="812"/>
      <c r="Q360" s="811"/>
      <c r="R360" s="813">
        <f>SUM(R55:R359)</f>
        <v>151055</v>
      </c>
      <c r="S360" s="809"/>
    </row>
    <row r="361" spans="1:19" ht="24.75">
      <c r="A361" s="807"/>
      <c r="B361" s="808"/>
      <c r="C361" s="809" t="s">
        <v>3505</v>
      </c>
      <c r="D361" s="809"/>
      <c r="E361" s="809"/>
      <c r="F361" s="809">
        <f>F360+F26+F40+F53</f>
        <v>495</v>
      </c>
      <c r="G361" s="809">
        <f>G360+G26+G40+G53</f>
        <v>159</v>
      </c>
      <c r="H361" s="809"/>
      <c r="I361" s="809"/>
      <c r="J361" s="810"/>
      <c r="K361" s="809">
        <f>K360+K26+K40+K53</f>
        <v>41</v>
      </c>
      <c r="L361" s="809">
        <f>L360+L26+L40+L53</f>
        <v>655</v>
      </c>
      <c r="M361" s="811"/>
      <c r="N361" s="809"/>
      <c r="O361" s="809"/>
      <c r="P361" s="812"/>
      <c r="Q361" s="811"/>
      <c r="R361" s="813">
        <f>R360+R26+R40+R53</f>
        <v>159591</v>
      </c>
      <c r="S361" s="809"/>
    </row>
    <row r="362" spans="1:19" ht="41.25">
      <c r="A362" s="1446" t="s">
        <v>3004</v>
      </c>
      <c r="B362" s="1447"/>
      <c r="C362" s="1447"/>
      <c r="D362" s="1447"/>
      <c r="E362" s="1447"/>
      <c r="F362" s="1447"/>
      <c r="G362" s="1447"/>
      <c r="H362" s="1447"/>
      <c r="I362" s="1447"/>
      <c r="J362" s="1447"/>
      <c r="K362" s="1447"/>
      <c r="L362" s="1447"/>
      <c r="M362" s="1447"/>
      <c r="N362" s="1447"/>
      <c r="O362" s="1447"/>
      <c r="P362" s="1447"/>
      <c r="Q362" s="1447"/>
      <c r="R362" s="1447"/>
      <c r="S362" s="1448"/>
    </row>
    <row r="363" spans="1:19" ht="42.75" customHeight="1">
      <c r="A363" s="1309" t="s">
        <v>1277</v>
      </c>
      <c r="B363" s="1310"/>
      <c r="C363" s="1310"/>
      <c r="D363" s="1310"/>
      <c r="E363" s="1310"/>
      <c r="F363" s="1310"/>
      <c r="G363" s="1310"/>
      <c r="H363" s="1310"/>
      <c r="I363" s="1310"/>
      <c r="J363" s="1310"/>
      <c r="K363" s="1310"/>
      <c r="L363" s="1310"/>
      <c r="M363" s="1310"/>
      <c r="N363" s="1310"/>
      <c r="O363" s="1310"/>
      <c r="P363" s="1310"/>
      <c r="Q363" s="1310"/>
      <c r="R363" s="1310"/>
      <c r="S363" s="1311"/>
    </row>
    <row r="364" spans="1:19" ht="112.5">
      <c r="A364" s="745">
        <v>1</v>
      </c>
      <c r="B364" s="741">
        <v>9789</v>
      </c>
      <c r="C364" s="744" t="s">
        <v>3521</v>
      </c>
      <c r="D364" s="745" t="s">
        <v>3906</v>
      </c>
      <c r="E364" s="745" t="s">
        <v>3907</v>
      </c>
      <c r="F364" s="744">
        <v>3</v>
      </c>
      <c r="G364" s="744">
        <v>0</v>
      </c>
      <c r="H364" s="1307" t="s">
        <v>3533</v>
      </c>
      <c r="I364" s="1308"/>
      <c r="J364" s="743" t="s">
        <v>3908</v>
      </c>
      <c r="K364" s="744">
        <v>0</v>
      </c>
      <c r="L364" s="744">
        <v>3</v>
      </c>
      <c r="M364" s="752" t="s">
        <v>1410</v>
      </c>
      <c r="N364" s="745" t="s">
        <v>3906</v>
      </c>
      <c r="O364" s="745" t="s">
        <v>3907</v>
      </c>
      <c r="P364" s="814" t="s">
        <v>3909</v>
      </c>
      <c r="Q364" s="746">
        <v>2018</v>
      </c>
      <c r="R364" s="747"/>
      <c r="S364" s="744"/>
    </row>
    <row r="365" spans="1:19" ht="112.5">
      <c r="A365" s="745">
        <v>2</v>
      </c>
      <c r="B365" s="741">
        <v>9789</v>
      </c>
      <c r="C365" s="744" t="s">
        <v>3521</v>
      </c>
      <c r="D365" s="745" t="s">
        <v>3910</v>
      </c>
      <c r="E365" s="745" t="s">
        <v>3911</v>
      </c>
      <c r="F365" s="744">
        <v>3</v>
      </c>
      <c r="G365" s="744">
        <v>0</v>
      </c>
      <c r="H365" s="1307" t="s">
        <v>3533</v>
      </c>
      <c r="I365" s="1308"/>
      <c r="J365" s="743" t="s">
        <v>3912</v>
      </c>
      <c r="K365" s="744">
        <v>0</v>
      </c>
      <c r="L365" s="744">
        <v>8</v>
      </c>
      <c r="M365" s="752" t="s">
        <v>1410</v>
      </c>
      <c r="N365" s="745" t="s">
        <v>3910</v>
      </c>
      <c r="O365" s="745" t="s">
        <v>3911</v>
      </c>
      <c r="P365" s="814" t="s">
        <v>3913</v>
      </c>
      <c r="Q365" s="746">
        <v>2018</v>
      </c>
      <c r="R365" s="747"/>
      <c r="S365" s="744"/>
    </row>
    <row r="366" spans="1:19" ht="112.5">
      <c r="A366" s="741">
        <v>3</v>
      </c>
      <c r="B366" s="741">
        <v>9789</v>
      </c>
      <c r="C366" s="742" t="s">
        <v>3521</v>
      </c>
      <c r="D366" s="741" t="s">
        <v>3914</v>
      </c>
      <c r="E366" s="741" t="s">
        <v>3915</v>
      </c>
      <c r="F366" s="742">
        <v>4</v>
      </c>
      <c r="G366" s="742">
        <v>0</v>
      </c>
      <c r="H366" s="1307" t="s">
        <v>3568</v>
      </c>
      <c r="I366" s="1308"/>
      <c r="J366" s="743" t="s">
        <v>3916</v>
      </c>
      <c r="K366" s="744">
        <v>0</v>
      </c>
      <c r="L366" s="744">
        <v>6</v>
      </c>
      <c r="M366" s="752" t="s">
        <v>1410</v>
      </c>
      <c r="N366" s="745" t="s">
        <v>3914</v>
      </c>
      <c r="O366" s="745" t="s">
        <v>3915</v>
      </c>
      <c r="P366" s="815" t="s">
        <v>3917</v>
      </c>
      <c r="Q366" s="746">
        <v>2018</v>
      </c>
      <c r="R366" s="747"/>
      <c r="S366" s="744"/>
    </row>
    <row r="367" spans="1:19" ht="180">
      <c r="A367" s="741">
        <v>4</v>
      </c>
      <c r="B367" s="741">
        <v>9789</v>
      </c>
      <c r="C367" s="744" t="s">
        <v>3521</v>
      </c>
      <c r="D367" s="745" t="s">
        <v>3918</v>
      </c>
      <c r="E367" s="745" t="s">
        <v>3919</v>
      </c>
      <c r="F367" s="744">
        <v>6</v>
      </c>
      <c r="G367" s="744">
        <v>0</v>
      </c>
      <c r="H367" s="1307" t="s">
        <v>3920</v>
      </c>
      <c r="I367" s="1308"/>
      <c r="J367" s="743" t="s">
        <v>3921</v>
      </c>
      <c r="K367" s="744">
        <v>1</v>
      </c>
      <c r="L367" s="744">
        <v>10</v>
      </c>
      <c r="M367" s="752" t="s">
        <v>1410</v>
      </c>
      <c r="N367" s="745" t="s">
        <v>3918</v>
      </c>
      <c r="O367" s="745" t="s">
        <v>3919</v>
      </c>
      <c r="P367" s="815" t="s">
        <v>3922</v>
      </c>
      <c r="Q367" s="746">
        <v>2018</v>
      </c>
      <c r="R367" s="747"/>
      <c r="S367" s="744"/>
    </row>
    <row r="368" spans="1:19" ht="112.5">
      <c r="A368" s="741">
        <v>5</v>
      </c>
      <c r="B368" s="741">
        <v>9789</v>
      </c>
      <c r="C368" s="744" t="s">
        <v>3521</v>
      </c>
      <c r="D368" s="745" t="s">
        <v>3548</v>
      </c>
      <c r="E368" s="745" t="s">
        <v>3549</v>
      </c>
      <c r="F368" s="744">
        <v>5</v>
      </c>
      <c r="G368" s="744">
        <v>0</v>
      </c>
      <c r="H368" s="1307" t="s">
        <v>3923</v>
      </c>
      <c r="I368" s="1308"/>
      <c r="J368" s="743" t="s">
        <v>3924</v>
      </c>
      <c r="K368" s="744">
        <v>0</v>
      </c>
      <c r="L368" s="744">
        <v>7</v>
      </c>
      <c r="M368" s="752" t="s">
        <v>1410</v>
      </c>
      <c r="N368" s="745" t="s">
        <v>3548</v>
      </c>
      <c r="O368" s="745" t="s">
        <v>3549</v>
      </c>
      <c r="P368" s="816" t="s">
        <v>3925</v>
      </c>
      <c r="Q368" s="746">
        <v>2018</v>
      </c>
      <c r="R368" s="747"/>
      <c r="S368" s="744"/>
    </row>
    <row r="369" spans="1:19" ht="112.5">
      <c r="A369" s="741">
        <v>6</v>
      </c>
      <c r="B369" s="741">
        <v>9789</v>
      </c>
      <c r="C369" s="742" t="s">
        <v>3521</v>
      </c>
      <c r="D369" s="1414" t="s">
        <v>3926</v>
      </c>
      <c r="E369" s="1414"/>
      <c r="F369" s="742">
        <v>11</v>
      </c>
      <c r="G369" s="742">
        <v>0</v>
      </c>
      <c r="H369" s="1307" t="s">
        <v>3927</v>
      </c>
      <c r="I369" s="1308"/>
      <c r="J369" s="743" t="s">
        <v>3928</v>
      </c>
      <c r="K369" s="744">
        <v>3</v>
      </c>
      <c r="L369" s="744">
        <v>24</v>
      </c>
      <c r="M369" s="752" t="s">
        <v>1410</v>
      </c>
      <c r="N369" s="1415" t="s">
        <v>3926</v>
      </c>
      <c r="O369" s="1416"/>
      <c r="P369" s="816" t="s">
        <v>3929</v>
      </c>
      <c r="Q369" s="746">
        <v>2018</v>
      </c>
      <c r="R369" s="747"/>
      <c r="S369" s="744"/>
    </row>
    <row r="370" spans="1:19" ht="90">
      <c r="A370" s="745">
        <v>7</v>
      </c>
      <c r="B370" s="741">
        <v>9789</v>
      </c>
      <c r="C370" s="744" t="s">
        <v>3521</v>
      </c>
      <c r="D370" s="745" t="s">
        <v>3930</v>
      </c>
      <c r="E370" s="745" t="s">
        <v>3931</v>
      </c>
      <c r="F370" s="744">
        <v>3</v>
      </c>
      <c r="G370" s="744">
        <v>0</v>
      </c>
      <c r="H370" s="1307" t="s">
        <v>3533</v>
      </c>
      <c r="I370" s="1308"/>
      <c r="J370" s="743" t="s">
        <v>1296</v>
      </c>
      <c r="K370" s="744">
        <v>4</v>
      </c>
      <c r="L370" s="744">
        <v>7</v>
      </c>
      <c r="M370" s="752" t="s">
        <v>1410</v>
      </c>
      <c r="N370" s="745" t="s">
        <v>3930</v>
      </c>
      <c r="O370" s="745" t="s">
        <v>3931</v>
      </c>
      <c r="P370" s="815" t="s">
        <v>3932</v>
      </c>
      <c r="Q370" s="746">
        <v>2018</v>
      </c>
      <c r="R370" s="747"/>
      <c r="S370" s="744"/>
    </row>
    <row r="371" spans="1:19" ht="90">
      <c r="A371" s="745">
        <v>8</v>
      </c>
      <c r="B371" s="741">
        <v>9789</v>
      </c>
      <c r="C371" s="744" t="s">
        <v>3521</v>
      </c>
      <c r="D371" s="744" t="s">
        <v>3933</v>
      </c>
      <c r="E371" s="744" t="s">
        <v>3934</v>
      </c>
      <c r="F371" s="744">
        <v>3</v>
      </c>
      <c r="G371" s="744">
        <v>0</v>
      </c>
      <c r="H371" s="1307" t="s">
        <v>3533</v>
      </c>
      <c r="I371" s="1308"/>
      <c r="J371" s="743" t="s">
        <v>1296</v>
      </c>
      <c r="K371" s="744">
        <v>2</v>
      </c>
      <c r="L371" s="744">
        <v>8</v>
      </c>
      <c r="M371" s="752" t="s">
        <v>1410</v>
      </c>
      <c r="N371" s="744" t="s">
        <v>3933</v>
      </c>
      <c r="O371" s="744" t="s">
        <v>3934</v>
      </c>
      <c r="P371" s="815" t="s">
        <v>3932</v>
      </c>
      <c r="Q371" s="746">
        <v>2018</v>
      </c>
      <c r="R371" s="747"/>
      <c r="S371" s="744"/>
    </row>
    <row r="372" spans="1:19" ht="90">
      <c r="A372" s="741">
        <v>9</v>
      </c>
      <c r="B372" s="741">
        <v>9789</v>
      </c>
      <c r="C372" s="742" t="s">
        <v>3521</v>
      </c>
      <c r="D372" s="742" t="s">
        <v>3598</v>
      </c>
      <c r="E372" s="742" t="s">
        <v>3935</v>
      </c>
      <c r="F372" s="742">
        <v>4</v>
      </c>
      <c r="G372" s="742">
        <v>0</v>
      </c>
      <c r="H372" s="1307" t="s">
        <v>3565</v>
      </c>
      <c r="I372" s="1308"/>
      <c r="J372" s="743" t="s">
        <v>1296</v>
      </c>
      <c r="K372" s="744">
        <v>2</v>
      </c>
      <c r="L372" s="744">
        <v>6</v>
      </c>
      <c r="M372" s="752" t="s">
        <v>1410</v>
      </c>
      <c r="N372" s="744" t="s">
        <v>3598</v>
      </c>
      <c r="O372" s="744" t="s">
        <v>3935</v>
      </c>
      <c r="P372" s="815" t="s">
        <v>3936</v>
      </c>
      <c r="Q372" s="746">
        <v>2018</v>
      </c>
      <c r="R372" s="747"/>
      <c r="S372" s="744"/>
    </row>
    <row r="373" spans="1:19" ht="112.5">
      <c r="A373" s="745">
        <v>10</v>
      </c>
      <c r="B373" s="745">
        <v>89850</v>
      </c>
      <c r="C373" s="744" t="s">
        <v>3937</v>
      </c>
      <c r="D373" s="744" t="s">
        <v>3938</v>
      </c>
      <c r="E373" s="744" t="s">
        <v>3939</v>
      </c>
      <c r="F373" s="744">
        <v>3</v>
      </c>
      <c r="G373" s="744">
        <v>0</v>
      </c>
      <c r="H373" s="1307" t="s">
        <v>3533</v>
      </c>
      <c r="I373" s="1308"/>
      <c r="J373" s="743" t="s">
        <v>3940</v>
      </c>
      <c r="K373" s="744">
        <v>1</v>
      </c>
      <c r="L373" s="744">
        <v>3</v>
      </c>
      <c r="M373" s="752" t="s">
        <v>1410</v>
      </c>
      <c r="N373" s="744" t="s">
        <v>3938</v>
      </c>
      <c r="O373" s="744" t="s">
        <v>3939</v>
      </c>
      <c r="P373" s="815" t="s">
        <v>3941</v>
      </c>
      <c r="Q373" s="746">
        <v>2018</v>
      </c>
      <c r="R373" s="747"/>
      <c r="S373" s="744"/>
    </row>
    <row r="374" spans="1:19" ht="90">
      <c r="A374" s="741">
        <v>11</v>
      </c>
      <c r="B374" s="741">
        <v>89804</v>
      </c>
      <c r="C374" s="742" t="s">
        <v>3942</v>
      </c>
      <c r="D374" s="742" t="s">
        <v>3943</v>
      </c>
      <c r="E374" s="742" t="s">
        <v>3944</v>
      </c>
      <c r="F374" s="742">
        <v>4</v>
      </c>
      <c r="G374" s="742">
        <v>0</v>
      </c>
      <c r="H374" s="1260" t="s">
        <v>3568</v>
      </c>
      <c r="I374" s="1261"/>
      <c r="J374" s="817" t="s">
        <v>3945</v>
      </c>
      <c r="K374" s="742">
        <v>1</v>
      </c>
      <c r="L374" s="742">
        <v>10</v>
      </c>
      <c r="M374" s="818" t="s">
        <v>1410</v>
      </c>
      <c r="N374" s="742" t="s">
        <v>3943</v>
      </c>
      <c r="O374" s="742" t="s">
        <v>3944</v>
      </c>
      <c r="P374" s="819" t="s">
        <v>3946</v>
      </c>
      <c r="Q374" s="820">
        <v>2018</v>
      </c>
      <c r="R374" s="821"/>
      <c r="S374" s="742"/>
    </row>
    <row r="375" spans="1:19" ht="22.5">
      <c r="A375" s="755"/>
      <c r="B375" s="755"/>
      <c r="C375" s="822"/>
      <c r="D375" s="822"/>
      <c r="E375" s="822"/>
      <c r="F375" s="822">
        <f>SUM(F364:F374)</f>
        <v>49</v>
      </c>
      <c r="G375" s="822">
        <f>SUM(G364:G374)</f>
        <v>0</v>
      </c>
      <c r="H375" s="822"/>
      <c r="I375" s="822"/>
      <c r="J375" s="823"/>
      <c r="K375" s="822">
        <f>SUM(K364:K374)</f>
        <v>14</v>
      </c>
      <c r="L375" s="822">
        <f>SUM(L364:L374)</f>
        <v>92</v>
      </c>
      <c r="M375" s="824"/>
      <c r="N375" s="822"/>
      <c r="O375" s="822"/>
      <c r="P375" s="825"/>
      <c r="Q375" s="826"/>
      <c r="R375" s="822">
        <f>SUM(R364:R374)</f>
        <v>0</v>
      </c>
      <c r="S375" s="822"/>
    </row>
    <row r="376" spans="1:19" ht="42.75" customHeight="1">
      <c r="A376" s="1309" t="s">
        <v>1279</v>
      </c>
      <c r="B376" s="1310"/>
      <c r="C376" s="1310"/>
      <c r="D376" s="1310"/>
      <c r="E376" s="1310"/>
      <c r="F376" s="1310"/>
      <c r="G376" s="1310"/>
      <c r="H376" s="1310"/>
      <c r="I376" s="1310"/>
      <c r="J376" s="1310"/>
      <c r="K376" s="1310"/>
      <c r="L376" s="1310"/>
      <c r="M376" s="1310"/>
      <c r="N376" s="1310"/>
      <c r="O376" s="1310"/>
      <c r="P376" s="1310"/>
      <c r="Q376" s="1310"/>
      <c r="R376" s="1310"/>
      <c r="S376" s="1311"/>
    </row>
    <row r="377" spans="1:19" ht="173.25">
      <c r="A377" s="764">
        <v>1</v>
      </c>
      <c r="B377" s="876">
        <v>805514</v>
      </c>
      <c r="C377" s="878" t="s">
        <v>3582</v>
      </c>
      <c r="D377" s="731" t="s">
        <v>3947</v>
      </c>
      <c r="E377" s="731" t="s">
        <v>3948</v>
      </c>
      <c r="F377" s="731">
        <v>5</v>
      </c>
      <c r="G377" s="731">
        <v>2</v>
      </c>
      <c r="H377" s="1301" t="s">
        <v>3949</v>
      </c>
      <c r="I377" s="1302"/>
      <c r="J377" s="733" t="s">
        <v>3950</v>
      </c>
      <c r="K377" s="731">
        <v>2</v>
      </c>
      <c r="L377" s="731">
        <v>16</v>
      </c>
      <c r="M377" s="734" t="s">
        <v>3951</v>
      </c>
      <c r="N377" s="731" t="s">
        <v>3620</v>
      </c>
      <c r="O377" s="731" t="s">
        <v>624</v>
      </c>
      <c r="P377" s="733" t="s">
        <v>3952</v>
      </c>
      <c r="Q377" s="731">
        <v>2018</v>
      </c>
      <c r="R377" s="739">
        <v>50</v>
      </c>
      <c r="S377" s="731" t="s">
        <v>3588</v>
      </c>
    </row>
    <row r="378" spans="1:19" ht="297">
      <c r="A378" s="764">
        <v>2</v>
      </c>
      <c r="B378" s="877"/>
      <c r="C378" s="879"/>
      <c r="D378" s="731" t="s">
        <v>3953</v>
      </c>
      <c r="E378" s="731" t="s">
        <v>3954</v>
      </c>
      <c r="F378" s="731">
        <v>5</v>
      </c>
      <c r="G378" s="731">
        <v>1</v>
      </c>
      <c r="H378" s="1301" t="s">
        <v>3955</v>
      </c>
      <c r="I378" s="1302"/>
      <c r="J378" s="733" t="s">
        <v>3956</v>
      </c>
      <c r="K378" s="731">
        <v>1</v>
      </c>
      <c r="L378" s="731">
        <v>6</v>
      </c>
      <c r="M378" s="734" t="s">
        <v>3951</v>
      </c>
      <c r="N378" s="731" t="s">
        <v>3626</v>
      </c>
      <c r="O378" s="731" t="s">
        <v>3957</v>
      </c>
      <c r="P378" s="733" t="s">
        <v>3952</v>
      </c>
      <c r="Q378" s="731">
        <v>2018</v>
      </c>
      <c r="R378" s="739">
        <v>50</v>
      </c>
      <c r="S378" s="731" t="s">
        <v>3588</v>
      </c>
    </row>
    <row r="379" spans="1:19" ht="123.75">
      <c r="A379" s="764">
        <v>3</v>
      </c>
      <c r="B379" s="1299">
        <v>805807</v>
      </c>
      <c r="C379" s="878" t="s">
        <v>3593</v>
      </c>
      <c r="D379" s="757" t="s">
        <v>3958</v>
      </c>
      <c r="E379" s="757" t="s">
        <v>3959</v>
      </c>
      <c r="F379" s="731">
        <v>4</v>
      </c>
      <c r="G379" s="731">
        <v>0</v>
      </c>
      <c r="H379" s="1301" t="s">
        <v>3960</v>
      </c>
      <c r="I379" s="1302"/>
      <c r="J379" s="731" t="s">
        <v>3961</v>
      </c>
      <c r="K379" s="731">
        <v>0</v>
      </c>
      <c r="L379" s="731">
        <v>7</v>
      </c>
      <c r="M379" s="734" t="s">
        <v>1410</v>
      </c>
      <c r="N379" s="757" t="s">
        <v>3958</v>
      </c>
      <c r="O379" s="757" t="s">
        <v>3959</v>
      </c>
      <c r="P379" s="733" t="s">
        <v>3599</v>
      </c>
      <c r="Q379" s="731">
        <v>2018</v>
      </c>
      <c r="R379" s="739">
        <v>14</v>
      </c>
      <c r="S379" s="731" t="s">
        <v>3588</v>
      </c>
    </row>
    <row r="380" spans="1:19" ht="148.5">
      <c r="A380" s="764">
        <v>4</v>
      </c>
      <c r="B380" s="1312"/>
      <c r="C380" s="881"/>
      <c r="D380" s="757" t="s">
        <v>3962</v>
      </c>
      <c r="E380" s="757" t="s">
        <v>3963</v>
      </c>
      <c r="F380" s="731">
        <v>5</v>
      </c>
      <c r="G380" s="731">
        <v>2</v>
      </c>
      <c r="H380" s="1301" t="s">
        <v>3964</v>
      </c>
      <c r="I380" s="1302"/>
      <c r="J380" s="731" t="s">
        <v>3965</v>
      </c>
      <c r="K380" s="731">
        <v>2</v>
      </c>
      <c r="L380" s="731">
        <v>9</v>
      </c>
      <c r="M380" s="734" t="s">
        <v>3951</v>
      </c>
      <c r="N380" s="757" t="s">
        <v>3966</v>
      </c>
      <c r="O380" s="757" t="s">
        <v>3967</v>
      </c>
      <c r="P380" s="733" t="s">
        <v>3599</v>
      </c>
      <c r="Q380" s="731">
        <v>2018</v>
      </c>
      <c r="R380" s="739">
        <v>50</v>
      </c>
      <c r="S380" s="731" t="s">
        <v>3588</v>
      </c>
    </row>
    <row r="381" spans="1:19" ht="123.75">
      <c r="A381" s="764">
        <v>5</v>
      </c>
      <c r="B381" s="1312"/>
      <c r="C381" s="881"/>
      <c r="D381" s="757" t="s">
        <v>3968</v>
      </c>
      <c r="E381" s="757" t="s">
        <v>3969</v>
      </c>
      <c r="F381" s="731">
        <v>4</v>
      </c>
      <c r="G381" s="731">
        <v>2</v>
      </c>
      <c r="H381" s="1301" t="s">
        <v>3725</v>
      </c>
      <c r="I381" s="1302"/>
      <c r="J381" s="731" t="s">
        <v>3970</v>
      </c>
      <c r="K381" s="731">
        <v>5</v>
      </c>
      <c r="L381" s="731">
        <v>8</v>
      </c>
      <c r="M381" s="734" t="s">
        <v>3971</v>
      </c>
      <c r="N381" s="757" t="s">
        <v>3245</v>
      </c>
      <c r="O381" s="757" t="s">
        <v>3246</v>
      </c>
      <c r="P381" s="733" t="s">
        <v>3972</v>
      </c>
      <c r="Q381" s="731">
        <v>2020</v>
      </c>
      <c r="R381" s="739">
        <v>7700</v>
      </c>
      <c r="S381" s="731"/>
    </row>
    <row r="382" spans="1:19" ht="99">
      <c r="A382" s="764">
        <v>6</v>
      </c>
      <c r="B382" s="1312"/>
      <c r="C382" s="881"/>
      <c r="D382" s="757" t="s">
        <v>3973</v>
      </c>
      <c r="E382" s="757" t="s">
        <v>3974</v>
      </c>
      <c r="F382" s="731">
        <v>3</v>
      </c>
      <c r="G382" s="731">
        <v>2</v>
      </c>
      <c r="H382" s="1301" t="s">
        <v>3583</v>
      </c>
      <c r="I382" s="1302"/>
      <c r="J382" s="731" t="s">
        <v>3975</v>
      </c>
      <c r="K382" s="731">
        <v>1</v>
      </c>
      <c r="L382" s="731">
        <v>5</v>
      </c>
      <c r="M382" s="734" t="s">
        <v>3951</v>
      </c>
      <c r="N382" s="757" t="s">
        <v>3973</v>
      </c>
      <c r="O382" s="757" t="s">
        <v>3974</v>
      </c>
      <c r="P382" s="733" t="s">
        <v>3952</v>
      </c>
      <c r="Q382" s="731">
        <v>2018</v>
      </c>
      <c r="R382" s="739">
        <v>50</v>
      </c>
      <c r="S382" s="731" t="s">
        <v>3588</v>
      </c>
    </row>
    <row r="383" spans="1:19" ht="123.75">
      <c r="A383" s="764">
        <v>7</v>
      </c>
      <c r="B383" s="1312"/>
      <c r="C383" s="881"/>
      <c r="D383" s="757" t="s">
        <v>3976</v>
      </c>
      <c r="E383" s="757" t="s">
        <v>3977</v>
      </c>
      <c r="F383" s="731">
        <v>5</v>
      </c>
      <c r="G383" s="731">
        <v>1</v>
      </c>
      <c r="H383" s="1301" t="s">
        <v>3978</v>
      </c>
      <c r="I383" s="1302"/>
      <c r="J383" s="731" t="s">
        <v>3979</v>
      </c>
      <c r="K383" s="731">
        <v>0</v>
      </c>
      <c r="L383" s="731">
        <v>6</v>
      </c>
      <c r="M383" s="734" t="s">
        <v>3596</v>
      </c>
      <c r="N383" s="757" t="s">
        <v>3976</v>
      </c>
      <c r="O383" s="757" t="s">
        <v>3977</v>
      </c>
      <c r="P383" s="733" t="s">
        <v>4118</v>
      </c>
      <c r="Q383" s="731">
        <v>2018</v>
      </c>
      <c r="R383" s="739">
        <v>40500</v>
      </c>
      <c r="S383" s="731" t="s">
        <v>3588</v>
      </c>
    </row>
    <row r="384" spans="1:19" ht="99">
      <c r="A384" s="764">
        <v>8</v>
      </c>
      <c r="B384" s="1300"/>
      <c r="C384" s="879"/>
      <c r="D384" s="757" t="s">
        <v>3601</v>
      </c>
      <c r="E384" s="757" t="s">
        <v>3603</v>
      </c>
      <c r="F384" s="731">
        <v>3</v>
      </c>
      <c r="G384" s="731">
        <v>2</v>
      </c>
      <c r="H384" s="1301" t="s">
        <v>3980</v>
      </c>
      <c r="I384" s="1302"/>
      <c r="J384" s="731" t="s">
        <v>3981</v>
      </c>
      <c r="K384" s="731">
        <v>0</v>
      </c>
      <c r="L384" s="731">
        <v>4</v>
      </c>
      <c r="M384" s="734" t="s">
        <v>3982</v>
      </c>
      <c r="N384" s="757" t="s">
        <v>3601</v>
      </c>
      <c r="O384" s="757" t="s">
        <v>3603</v>
      </c>
      <c r="P384" s="733" t="s">
        <v>3952</v>
      </c>
      <c r="Q384" s="731">
        <v>2018</v>
      </c>
      <c r="R384" s="739">
        <v>50</v>
      </c>
      <c r="S384" s="731" t="s">
        <v>3588</v>
      </c>
    </row>
    <row r="385" spans="1:19" ht="173.25">
      <c r="A385" s="764">
        <v>9</v>
      </c>
      <c r="B385" s="756">
        <v>805684</v>
      </c>
      <c r="C385" s="731" t="s">
        <v>3605</v>
      </c>
      <c r="D385" s="757" t="s">
        <v>3983</v>
      </c>
      <c r="E385" s="757" t="s">
        <v>3984</v>
      </c>
      <c r="F385" s="731">
        <v>4</v>
      </c>
      <c r="G385" s="731">
        <v>1</v>
      </c>
      <c r="H385" s="1301" t="s">
        <v>3985</v>
      </c>
      <c r="I385" s="1302"/>
      <c r="J385" s="731" t="s">
        <v>3986</v>
      </c>
      <c r="K385" s="731">
        <v>1</v>
      </c>
      <c r="L385" s="731">
        <v>6</v>
      </c>
      <c r="M385" s="734" t="s">
        <v>3596</v>
      </c>
      <c r="N385" s="757" t="s">
        <v>3983</v>
      </c>
      <c r="O385" s="757" t="s">
        <v>3987</v>
      </c>
      <c r="P385" s="733"/>
      <c r="Q385" s="731">
        <v>2020</v>
      </c>
      <c r="R385" s="739"/>
      <c r="S385" s="730" t="s">
        <v>3611</v>
      </c>
    </row>
    <row r="386" spans="1:19" ht="148.5">
      <c r="A386" s="764">
        <v>10</v>
      </c>
      <c r="B386" s="1299">
        <v>805808</v>
      </c>
      <c r="C386" s="878" t="s">
        <v>3622</v>
      </c>
      <c r="D386" s="757" t="s">
        <v>2732</v>
      </c>
      <c r="E386" s="757" t="s">
        <v>2956</v>
      </c>
      <c r="F386" s="731">
        <v>3</v>
      </c>
      <c r="G386" s="731">
        <v>0</v>
      </c>
      <c r="H386" s="1301" t="s">
        <v>3583</v>
      </c>
      <c r="I386" s="1302"/>
      <c r="J386" s="731" t="s">
        <v>3988</v>
      </c>
      <c r="K386" s="731">
        <v>0</v>
      </c>
      <c r="L386" s="731">
        <v>3</v>
      </c>
      <c r="M386" s="734" t="s">
        <v>1410</v>
      </c>
      <c r="N386" s="757" t="s">
        <v>2584</v>
      </c>
      <c r="O386" s="757" t="s">
        <v>540</v>
      </c>
      <c r="P386" s="733" t="s">
        <v>3599</v>
      </c>
      <c r="Q386" s="731">
        <v>2020</v>
      </c>
      <c r="R386" s="739"/>
      <c r="S386" s="730" t="s">
        <v>3611</v>
      </c>
    </row>
    <row r="387" spans="1:19" ht="198">
      <c r="A387" s="764">
        <v>11</v>
      </c>
      <c r="B387" s="1300"/>
      <c r="C387" s="879"/>
      <c r="D387" s="757" t="s">
        <v>3989</v>
      </c>
      <c r="E387" s="757" t="s">
        <v>3990</v>
      </c>
      <c r="F387" s="731">
        <v>3</v>
      </c>
      <c r="G387" s="731">
        <v>2</v>
      </c>
      <c r="H387" s="1301" t="s">
        <v>3583</v>
      </c>
      <c r="I387" s="1302"/>
      <c r="J387" s="731" t="s">
        <v>3991</v>
      </c>
      <c r="K387" s="731">
        <v>1</v>
      </c>
      <c r="L387" s="731">
        <v>5</v>
      </c>
      <c r="M387" s="734" t="s">
        <v>3951</v>
      </c>
      <c r="N387" s="757" t="s">
        <v>3992</v>
      </c>
      <c r="O387" s="757" t="s">
        <v>2571</v>
      </c>
      <c r="P387" s="733" t="s">
        <v>3599</v>
      </c>
      <c r="Q387" s="731">
        <v>2020</v>
      </c>
      <c r="R387" s="739"/>
      <c r="S387" s="730" t="s">
        <v>3611</v>
      </c>
    </row>
    <row r="388" spans="1:19" ht="247.5">
      <c r="A388" s="764">
        <v>12</v>
      </c>
      <c r="B388" s="1299">
        <v>805453</v>
      </c>
      <c r="C388" s="878" t="s">
        <v>3612</v>
      </c>
      <c r="D388" s="757" t="s">
        <v>2951</v>
      </c>
      <c r="E388" s="757" t="s">
        <v>3993</v>
      </c>
      <c r="F388" s="731">
        <v>5</v>
      </c>
      <c r="G388" s="731">
        <v>2</v>
      </c>
      <c r="H388" s="1301" t="s">
        <v>3765</v>
      </c>
      <c r="I388" s="1302"/>
      <c r="J388" s="731" t="s">
        <v>3994</v>
      </c>
      <c r="K388" s="731">
        <v>1</v>
      </c>
      <c r="L388" s="731">
        <v>5</v>
      </c>
      <c r="M388" s="734" t="s">
        <v>3995</v>
      </c>
      <c r="N388" s="731" t="s">
        <v>47</v>
      </c>
      <c r="O388" s="731" t="s">
        <v>48</v>
      </c>
      <c r="P388" s="733" t="s">
        <v>4119</v>
      </c>
      <c r="Q388" s="731">
        <v>2019</v>
      </c>
      <c r="R388" s="739">
        <v>42000</v>
      </c>
      <c r="S388" s="731" t="s">
        <v>3588</v>
      </c>
    </row>
    <row r="389" spans="1:19" ht="247.5">
      <c r="A389" s="764">
        <v>13</v>
      </c>
      <c r="B389" s="1300"/>
      <c r="C389" s="879"/>
      <c r="D389" s="757" t="s">
        <v>3996</v>
      </c>
      <c r="E389" s="757" t="s">
        <v>3997</v>
      </c>
      <c r="F389" s="731">
        <v>7</v>
      </c>
      <c r="G389" s="731">
        <v>0</v>
      </c>
      <c r="H389" s="1301" t="s">
        <v>3998</v>
      </c>
      <c r="I389" s="1302"/>
      <c r="J389" s="731" t="s">
        <v>3999</v>
      </c>
      <c r="K389" s="731">
        <v>0</v>
      </c>
      <c r="L389" s="731">
        <v>11</v>
      </c>
      <c r="M389" s="734" t="s">
        <v>1410</v>
      </c>
      <c r="N389" s="759" t="s">
        <v>3618</v>
      </c>
      <c r="O389" s="759" t="s">
        <v>3619</v>
      </c>
      <c r="P389" s="733" t="s">
        <v>3591</v>
      </c>
      <c r="Q389" s="731">
        <v>2020</v>
      </c>
      <c r="R389" s="739">
        <v>200</v>
      </c>
      <c r="S389" s="731" t="s">
        <v>3592</v>
      </c>
    </row>
    <row r="390" spans="1:19" ht="247.5">
      <c r="A390" s="764">
        <v>14</v>
      </c>
      <c r="B390" s="760">
        <v>805462</v>
      </c>
      <c r="C390" s="730" t="s">
        <v>1297</v>
      </c>
      <c r="D390" s="757" t="s">
        <v>4000</v>
      </c>
      <c r="E390" s="757" t="s">
        <v>4001</v>
      </c>
      <c r="F390" s="731">
        <v>3</v>
      </c>
      <c r="G390" s="731">
        <v>2</v>
      </c>
      <c r="H390" s="1301" t="s">
        <v>3583</v>
      </c>
      <c r="I390" s="1302"/>
      <c r="J390" s="731" t="s">
        <v>3621</v>
      </c>
      <c r="K390" s="731">
        <v>0</v>
      </c>
      <c r="L390" s="731">
        <v>4</v>
      </c>
      <c r="M390" s="734" t="s">
        <v>3982</v>
      </c>
      <c r="N390" s="757" t="s">
        <v>489</v>
      </c>
      <c r="O390" s="757" t="s">
        <v>624</v>
      </c>
      <c r="P390" s="733" t="s">
        <v>3952</v>
      </c>
      <c r="Q390" s="730">
        <v>2018</v>
      </c>
      <c r="R390" s="761">
        <v>50</v>
      </c>
      <c r="S390" s="731" t="s">
        <v>3588</v>
      </c>
    </row>
    <row r="391" spans="1:19" ht="27">
      <c r="A391" s="875" t="s">
        <v>1278</v>
      </c>
      <c r="B391" s="875"/>
      <c r="C391" s="875"/>
      <c r="D391" s="769"/>
      <c r="E391" s="769"/>
      <c r="F391" s="769">
        <f>SUM(F377:F390)</f>
        <v>59</v>
      </c>
      <c r="G391" s="769">
        <f>SUM(G377:G390)</f>
        <v>19</v>
      </c>
      <c r="H391" s="769"/>
      <c r="I391" s="769"/>
      <c r="J391" s="770"/>
      <c r="K391" s="769">
        <f>SUM(K377:K390)</f>
        <v>14</v>
      </c>
      <c r="L391" s="769">
        <f>SUM(L377:L390)</f>
        <v>95</v>
      </c>
      <c r="M391" s="769"/>
      <c r="N391" s="769"/>
      <c r="O391" s="769"/>
      <c r="P391" s="769"/>
      <c r="Q391" s="771"/>
      <c r="R391" s="772">
        <f>SUM(R377:R390)</f>
        <v>90714</v>
      </c>
      <c r="S391" s="769"/>
    </row>
    <row r="392" spans="1:19" ht="42.75" customHeight="1">
      <c r="A392" s="1303" t="s">
        <v>1284</v>
      </c>
      <c r="B392" s="1303"/>
      <c r="C392" s="1303"/>
      <c r="D392" s="1303"/>
      <c r="E392" s="1303"/>
      <c r="F392" s="1303"/>
      <c r="G392" s="1303"/>
      <c r="H392" s="1303"/>
      <c r="I392" s="1303"/>
      <c r="J392" s="1303"/>
      <c r="K392" s="1303"/>
      <c r="L392" s="1303"/>
      <c r="M392" s="1303"/>
      <c r="N392" s="1303"/>
      <c r="O392" s="1303"/>
      <c r="P392" s="1303"/>
      <c r="Q392" s="1303"/>
      <c r="R392" s="1303"/>
      <c r="S392" s="1303"/>
    </row>
    <row r="393" spans="1:19" ht="42.75">
      <c r="A393" s="1304" t="s">
        <v>1298</v>
      </c>
      <c r="B393" s="1304"/>
      <c r="C393" s="1304"/>
      <c r="D393" s="1304"/>
      <c r="E393" s="1304"/>
      <c r="F393" s="1304"/>
      <c r="G393" s="1304"/>
      <c r="H393" s="1304"/>
      <c r="I393" s="1304"/>
      <c r="J393" s="1304"/>
      <c r="K393" s="1304"/>
      <c r="L393" s="1304"/>
      <c r="M393" s="1304"/>
      <c r="N393" s="1304"/>
      <c r="O393" s="1304"/>
      <c r="P393" s="1304"/>
      <c r="Q393" s="1304"/>
      <c r="R393" s="1304"/>
      <c r="S393" s="1304"/>
    </row>
    <row r="394" spans="1:19" ht="272.25">
      <c r="A394" s="773">
        <v>1</v>
      </c>
      <c r="B394" s="773">
        <v>737494</v>
      </c>
      <c r="C394" s="773" t="s">
        <v>4002</v>
      </c>
      <c r="D394" s="773" t="s">
        <v>1299</v>
      </c>
      <c r="E394" s="773" t="s">
        <v>1300</v>
      </c>
      <c r="F394" s="773">
        <v>4</v>
      </c>
      <c r="G394" s="773">
        <v>4</v>
      </c>
      <c r="H394" s="1305" t="s">
        <v>3723</v>
      </c>
      <c r="I394" s="1306"/>
      <c r="J394" s="774" t="s">
        <v>1301</v>
      </c>
      <c r="K394" s="773">
        <v>1</v>
      </c>
      <c r="L394" s="773">
        <v>3</v>
      </c>
      <c r="M394" s="773" t="s">
        <v>4003</v>
      </c>
      <c r="N394" s="773" t="s">
        <v>1299</v>
      </c>
      <c r="O394" s="773" t="s">
        <v>1300</v>
      </c>
      <c r="P394" s="774" t="s">
        <v>4004</v>
      </c>
      <c r="Q394" s="775">
        <v>2019</v>
      </c>
      <c r="R394" s="776">
        <v>450.2</v>
      </c>
      <c r="S394" s="773" t="s">
        <v>3641</v>
      </c>
    </row>
    <row r="395" spans="1:19" ht="247.5">
      <c r="A395" s="827">
        <v>2</v>
      </c>
      <c r="B395" s="827"/>
      <c r="C395" s="827" t="s">
        <v>4005</v>
      </c>
      <c r="D395" s="827" t="s">
        <v>1302</v>
      </c>
      <c r="E395" s="827" t="s">
        <v>1302</v>
      </c>
      <c r="F395" s="827">
        <v>5</v>
      </c>
      <c r="G395" s="827">
        <v>4</v>
      </c>
      <c r="H395" s="1305" t="s">
        <v>4006</v>
      </c>
      <c r="I395" s="1306"/>
      <c r="J395" s="828" t="s">
        <v>1303</v>
      </c>
      <c r="K395" s="827">
        <v>0</v>
      </c>
      <c r="L395" s="827">
        <v>6</v>
      </c>
      <c r="M395" s="827" t="s">
        <v>4007</v>
      </c>
      <c r="N395" s="827" t="s">
        <v>1302</v>
      </c>
      <c r="O395" s="827" t="s">
        <v>1302</v>
      </c>
      <c r="P395" s="828" t="s">
        <v>4008</v>
      </c>
      <c r="Q395" s="775">
        <v>2019</v>
      </c>
      <c r="R395" s="829">
        <v>360.1</v>
      </c>
      <c r="S395" s="827" t="s">
        <v>3641</v>
      </c>
    </row>
    <row r="396" spans="1:19" ht="123.75">
      <c r="A396" s="773">
        <v>3</v>
      </c>
      <c r="B396" s="773">
        <v>737976</v>
      </c>
      <c r="C396" s="773" t="s">
        <v>4009</v>
      </c>
      <c r="D396" s="773" t="s">
        <v>1304</v>
      </c>
      <c r="E396" s="773" t="s">
        <v>1304</v>
      </c>
      <c r="F396" s="773">
        <v>3</v>
      </c>
      <c r="G396" s="773">
        <v>2</v>
      </c>
      <c r="H396" s="1305" t="s">
        <v>3640</v>
      </c>
      <c r="I396" s="1306"/>
      <c r="J396" s="774" t="s">
        <v>1303</v>
      </c>
      <c r="K396" s="773">
        <v>0</v>
      </c>
      <c r="L396" s="773">
        <v>3</v>
      </c>
      <c r="M396" s="773" t="s">
        <v>3105</v>
      </c>
      <c r="N396" s="773" t="s">
        <v>1304</v>
      </c>
      <c r="O396" s="773" t="s">
        <v>1304</v>
      </c>
      <c r="P396" s="774" t="s">
        <v>4010</v>
      </c>
      <c r="Q396" s="775">
        <v>2019</v>
      </c>
      <c r="R396" s="776">
        <v>40.5</v>
      </c>
      <c r="S396" s="773" t="s">
        <v>3641</v>
      </c>
    </row>
    <row r="397" spans="1:19" ht="198">
      <c r="A397" s="773">
        <v>4</v>
      </c>
      <c r="B397" s="773">
        <v>735768</v>
      </c>
      <c r="C397" s="773" t="s">
        <v>4011</v>
      </c>
      <c r="D397" s="773" t="s">
        <v>1306</v>
      </c>
      <c r="E397" s="773" t="s">
        <v>1306</v>
      </c>
      <c r="F397" s="773">
        <v>3</v>
      </c>
      <c r="G397" s="773">
        <v>3</v>
      </c>
      <c r="H397" s="1305" t="s">
        <v>4012</v>
      </c>
      <c r="I397" s="1306"/>
      <c r="J397" s="774" t="s">
        <v>1303</v>
      </c>
      <c r="K397" s="773">
        <v>1</v>
      </c>
      <c r="L397" s="773">
        <v>2</v>
      </c>
      <c r="M397" s="773" t="s">
        <v>4013</v>
      </c>
      <c r="N397" s="773" t="s">
        <v>1306</v>
      </c>
      <c r="O397" s="773" t="s">
        <v>1306</v>
      </c>
      <c r="P397" s="774" t="s">
        <v>4014</v>
      </c>
      <c r="Q397" s="775">
        <v>2019</v>
      </c>
      <c r="R397" s="776">
        <v>445</v>
      </c>
      <c r="S397" s="773" t="s">
        <v>3641</v>
      </c>
    </row>
    <row r="398" spans="1:19" ht="123.75">
      <c r="A398" s="773">
        <v>5</v>
      </c>
      <c r="B398" s="773">
        <v>735045</v>
      </c>
      <c r="C398" s="773" t="s">
        <v>4015</v>
      </c>
      <c r="D398" s="773" t="s">
        <v>1300</v>
      </c>
      <c r="E398" s="773" t="s">
        <v>1300</v>
      </c>
      <c r="F398" s="773">
        <v>3</v>
      </c>
      <c r="G398" s="773">
        <v>3</v>
      </c>
      <c r="H398" s="1305" t="s">
        <v>3640</v>
      </c>
      <c r="I398" s="1306"/>
      <c r="J398" s="774" t="s">
        <v>1305</v>
      </c>
      <c r="K398" s="773">
        <v>0</v>
      </c>
      <c r="L398" s="773">
        <v>4</v>
      </c>
      <c r="M398" s="773" t="s">
        <v>4016</v>
      </c>
      <c r="N398" s="773" t="s">
        <v>1300</v>
      </c>
      <c r="O398" s="773" t="s">
        <v>1300</v>
      </c>
      <c r="P398" s="774" t="s">
        <v>4017</v>
      </c>
      <c r="Q398" s="775">
        <v>2019</v>
      </c>
      <c r="R398" s="776">
        <v>220.1</v>
      </c>
      <c r="S398" s="773" t="s">
        <v>3641</v>
      </c>
    </row>
    <row r="399" spans="1:19" ht="24.75">
      <c r="A399" s="830"/>
      <c r="B399" s="830"/>
      <c r="C399" s="830"/>
      <c r="D399" s="830"/>
      <c r="E399" s="830"/>
      <c r="F399" s="830">
        <f>SUM(F394:F398)</f>
        <v>18</v>
      </c>
      <c r="G399" s="830">
        <f>SUM(G394:G398)</f>
        <v>16</v>
      </c>
      <c r="H399" s="830"/>
      <c r="I399" s="830"/>
      <c r="J399" s="830"/>
      <c r="K399" s="830">
        <f>SUM(K394:K398)</f>
        <v>2</v>
      </c>
      <c r="L399" s="830">
        <f>SUM(L394:L398)</f>
        <v>18</v>
      </c>
      <c r="M399" s="830"/>
      <c r="N399" s="830"/>
      <c r="O399" s="830"/>
      <c r="P399" s="830"/>
      <c r="Q399" s="831"/>
      <c r="R399" s="832">
        <f>SUM(R394:R398)</f>
        <v>1515.8999999999999</v>
      </c>
      <c r="S399" s="830"/>
    </row>
    <row r="400" spans="1:19" ht="42.75">
      <c r="A400" s="1443" t="s">
        <v>1313</v>
      </c>
      <c r="B400" s="1444"/>
      <c r="C400" s="1444"/>
      <c r="D400" s="1444"/>
      <c r="E400" s="1444"/>
      <c r="F400" s="1444"/>
      <c r="G400" s="1444"/>
      <c r="H400" s="1444"/>
      <c r="I400" s="1444"/>
      <c r="J400" s="1444"/>
      <c r="K400" s="1444"/>
      <c r="L400" s="1444"/>
      <c r="M400" s="1444"/>
      <c r="N400" s="1444"/>
      <c r="O400" s="1444"/>
      <c r="P400" s="1444"/>
      <c r="Q400" s="1444"/>
      <c r="R400" s="1444"/>
      <c r="S400" s="1444"/>
    </row>
    <row r="401" spans="1:19" ht="45">
      <c r="A401" s="1289">
        <v>1</v>
      </c>
      <c r="B401" s="1276">
        <v>749485</v>
      </c>
      <c r="C401" s="1445" t="s">
        <v>3006</v>
      </c>
      <c r="D401" s="1277" t="s">
        <v>3007</v>
      </c>
      <c r="E401" s="1277" t="s">
        <v>3008</v>
      </c>
      <c r="F401" s="1276">
        <v>4</v>
      </c>
      <c r="G401" s="1276">
        <v>2</v>
      </c>
      <c r="H401" s="1280" t="s">
        <v>3654</v>
      </c>
      <c r="I401" s="1281"/>
      <c r="J401" s="1287" t="s">
        <v>4018</v>
      </c>
      <c r="K401" s="1276">
        <v>0</v>
      </c>
      <c r="L401" s="1276">
        <v>7</v>
      </c>
      <c r="M401" s="1276" t="s">
        <v>4019</v>
      </c>
      <c r="N401" s="1276" t="s">
        <v>3007</v>
      </c>
      <c r="O401" s="1276" t="s">
        <v>3008</v>
      </c>
      <c r="P401" s="795" t="s">
        <v>3010</v>
      </c>
      <c r="Q401" s="752" t="s">
        <v>4020</v>
      </c>
      <c r="R401" s="796">
        <v>7</v>
      </c>
      <c r="S401" s="798"/>
    </row>
    <row r="402" spans="1:19" ht="22.5">
      <c r="A402" s="1289"/>
      <c r="B402" s="1276"/>
      <c r="C402" s="1445"/>
      <c r="D402" s="1278"/>
      <c r="E402" s="1278"/>
      <c r="F402" s="1276"/>
      <c r="G402" s="1276"/>
      <c r="H402" s="1282"/>
      <c r="I402" s="1283"/>
      <c r="J402" s="1287"/>
      <c r="K402" s="1276"/>
      <c r="L402" s="1276"/>
      <c r="M402" s="1276"/>
      <c r="N402" s="1276"/>
      <c r="O402" s="1276"/>
      <c r="P402" s="795" t="s">
        <v>3011</v>
      </c>
      <c r="Q402" s="752" t="s">
        <v>4020</v>
      </c>
      <c r="R402" s="796">
        <v>5</v>
      </c>
      <c r="S402" s="798"/>
    </row>
    <row r="403" spans="1:19" ht="112.5">
      <c r="A403" s="1289"/>
      <c r="B403" s="1276"/>
      <c r="C403" s="1445"/>
      <c r="D403" s="1278"/>
      <c r="E403" s="1278"/>
      <c r="F403" s="1276"/>
      <c r="G403" s="1276"/>
      <c r="H403" s="1282"/>
      <c r="I403" s="1283"/>
      <c r="J403" s="1287"/>
      <c r="K403" s="1276"/>
      <c r="L403" s="1276"/>
      <c r="M403" s="1276"/>
      <c r="N403" s="1276"/>
      <c r="O403" s="1276"/>
      <c r="P403" s="795" t="s">
        <v>3012</v>
      </c>
      <c r="Q403" s="752" t="s">
        <v>4020</v>
      </c>
      <c r="R403" s="796">
        <v>200</v>
      </c>
      <c r="S403" s="798"/>
    </row>
    <row r="404" spans="1:19" ht="45">
      <c r="A404" s="1289"/>
      <c r="B404" s="1276"/>
      <c r="C404" s="1445"/>
      <c r="D404" s="1279"/>
      <c r="E404" s="1279"/>
      <c r="F404" s="1276"/>
      <c r="G404" s="1276"/>
      <c r="H404" s="1284"/>
      <c r="I404" s="1285"/>
      <c r="J404" s="1287"/>
      <c r="K404" s="1276"/>
      <c r="L404" s="1276"/>
      <c r="M404" s="1276"/>
      <c r="N404" s="1276"/>
      <c r="O404" s="1276"/>
      <c r="P404" s="795" t="s">
        <v>3013</v>
      </c>
      <c r="Q404" s="752" t="s">
        <v>4020</v>
      </c>
      <c r="R404" s="796">
        <v>28</v>
      </c>
      <c r="S404" s="798"/>
    </row>
    <row r="405" spans="1:19" ht="45">
      <c r="A405" s="1289">
        <v>2</v>
      </c>
      <c r="B405" s="1276">
        <v>738434</v>
      </c>
      <c r="C405" s="1276" t="s">
        <v>1314</v>
      </c>
      <c r="D405" s="1276" t="s">
        <v>3014</v>
      </c>
      <c r="E405" s="1276" t="s">
        <v>1306</v>
      </c>
      <c r="F405" s="1276">
        <v>5</v>
      </c>
      <c r="G405" s="1276">
        <v>3</v>
      </c>
      <c r="H405" s="1276" t="s">
        <v>4021</v>
      </c>
      <c r="I405" s="1276"/>
      <c r="J405" s="1287" t="s">
        <v>4022</v>
      </c>
      <c r="K405" s="1276">
        <v>0</v>
      </c>
      <c r="L405" s="1276">
        <v>5</v>
      </c>
      <c r="M405" s="1288" t="s">
        <v>4023</v>
      </c>
      <c r="N405" s="1276" t="s">
        <v>3014</v>
      </c>
      <c r="O405" s="1276" t="s">
        <v>1306</v>
      </c>
      <c r="P405" s="795" t="s">
        <v>3015</v>
      </c>
      <c r="Q405" s="752" t="s">
        <v>4020</v>
      </c>
      <c r="R405" s="796">
        <v>36</v>
      </c>
      <c r="S405" s="798"/>
    </row>
    <row r="406" spans="1:19" ht="45">
      <c r="A406" s="1289"/>
      <c r="B406" s="1276"/>
      <c r="C406" s="1276"/>
      <c r="D406" s="1276"/>
      <c r="E406" s="1276"/>
      <c r="F406" s="1276"/>
      <c r="G406" s="1276"/>
      <c r="H406" s="1276"/>
      <c r="I406" s="1276"/>
      <c r="J406" s="1442"/>
      <c r="K406" s="1276"/>
      <c r="L406" s="1276"/>
      <c r="M406" s="1288"/>
      <c r="N406" s="1276"/>
      <c r="O406" s="1276"/>
      <c r="P406" s="795" t="s">
        <v>3016</v>
      </c>
      <c r="Q406" s="752" t="s">
        <v>4020</v>
      </c>
      <c r="R406" s="796">
        <v>5</v>
      </c>
      <c r="S406" s="798"/>
    </row>
    <row r="407" spans="1:19" ht="45">
      <c r="A407" s="1289"/>
      <c r="B407" s="1276"/>
      <c r="C407" s="1276"/>
      <c r="D407" s="1276"/>
      <c r="E407" s="1276"/>
      <c r="F407" s="1276"/>
      <c r="G407" s="1276"/>
      <c r="H407" s="1276"/>
      <c r="I407" s="1276"/>
      <c r="J407" s="1442"/>
      <c r="K407" s="1276"/>
      <c r="L407" s="1276"/>
      <c r="M407" s="1288"/>
      <c r="N407" s="1276"/>
      <c r="O407" s="1276"/>
      <c r="P407" s="795" t="s">
        <v>3017</v>
      </c>
      <c r="Q407" s="752" t="s">
        <v>4020</v>
      </c>
      <c r="R407" s="796">
        <v>14</v>
      </c>
      <c r="S407" s="798"/>
    </row>
    <row r="408" spans="1:19" ht="90">
      <c r="A408" s="1289"/>
      <c r="B408" s="1276"/>
      <c r="C408" s="1276"/>
      <c r="D408" s="1276"/>
      <c r="E408" s="1276"/>
      <c r="F408" s="1276"/>
      <c r="G408" s="1276"/>
      <c r="H408" s="1276"/>
      <c r="I408" s="1276"/>
      <c r="J408" s="1442"/>
      <c r="K408" s="1276"/>
      <c r="L408" s="1276"/>
      <c r="M408" s="1288"/>
      <c r="N408" s="1276"/>
      <c r="O408" s="1276"/>
      <c r="P408" s="795" t="s">
        <v>3018</v>
      </c>
      <c r="Q408" s="752" t="s">
        <v>4020</v>
      </c>
      <c r="R408" s="796">
        <v>200</v>
      </c>
      <c r="S408" s="798"/>
    </row>
    <row r="409" spans="1:19" ht="45">
      <c r="A409" s="1289"/>
      <c r="B409" s="1276"/>
      <c r="C409" s="1276"/>
      <c r="D409" s="1276"/>
      <c r="E409" s="1276"/>
      <c r="F409" s="1276"/>
      <c r="G409" s="1276"/>
      <c r="H409" s="1276"/>
      <c r="I409" s="1276"/>
      <c r="J409" s="1442"/>
      <c r="K409" s="1276"/>
      <c r="L409" s="1276"/>
      <c r="M409" s="1288"/>
      <c r="N409" s="1276"/>
      <c r="O409" s="1276"/>
      <c r="P409" s="795" t="s">
        <v>3019</v>
      </c>
      <c r="Q409" s="752" t="s">
        <v>4020</v>
      </c>
      <c r="R409" s="796">
        <v>7000</v>
      </c>
      <c r="S409" s="798"/>
    </row>
    <row r="410" spans="1:19" ht="90">
      <c r="A410" s="1289">
        <v>3</v>
      </c>
      <c r="B410" s="1276">
        <v>738434</v>
      </c>
      <c r="C410" s="1276" t="s">
        <v>1314</v>
      </c>
      <c r="D410" s="1277" t="s">
        <v>3020</v>
      </c>
      <c r="E410" s="1277" t="s">
        <v>3021</v>
      </c>
      <c r="F410" s="1276">
        <v>4</v>
      </c>
      <c r="G410" s="1277">
        <v>2</v>
      </c>
      <c r="H410" s="1280" t="s">
        <v>3691</v>
      </c>
      <c r="I410" s="1281"/>
      <c r="J410" s="1296" t="s">
        <v>4022</v>
      </c>
      <c r="K410" s="1276">
        <v>0</v>
      </c>
      <c r="L410" s="1276">
        <v>4</v>
      </c>
      <c r="M410" s="1277" t="s">
        <v>4024</v>
      </c>
      <c r="N410" s="1276" t="s">
        <v>3020</v>
      </c>
      <c r="O410" s="1276" t="s">
        <v>3021</v>
      </c>
      <c r="P410" s="795" t="s">
        <v>4025</v>
      </c>
      <c r="Q410" s="752" t="s">
        <v>4020</v>
      </c>
      <c r="R410" s="796">
        <v>80</v>
      </c>
      <c r="S410" s="798"/>
    </row>
    <row r="411" spans="1:19" ht="67.5">
      <c r="A411" s="1289"/>
      <c r="B411" s="1276"/>
      <c r="C411" s="1276"/>
      <c r="D411" s="1278"/>
      <c r="E411" s="1278"/>
      <c r="F411" s="1276"/>
      <c r="G411" s="1278"/>
      <c r="H411" s="1282"/>
      <c r="I411" s="1283"/>
      <c r="J411" s="1297"/>
      <c r="K411" s="1276"/>
      <c r="L411" s="1276"/>
      <c r="M411" s="1278"/>
      <c r="N411" s="1276"/>
      <c r="O411" s="1276"/>
      <c r="P411" s="795" t="s">
        <v>3147</v>
      </c>
      <c r="Q411" s="752" t="s">
        <v>4020</v>
      </c>
      <c r="R411" s="796">
        <v>7000</v>
      </c>
      <c r="S411" s="798"/>
    </row>
    <row r="412" spans="1:19" ht="45">
      <c r="A412" s="1289"/>
      <c r="B412" s="1276"/>
      <c r="C412" s="1276"/>
      <c r="D412" s="1278"/>
      <c r="E412" s="1278"/>
      <c r="F412" s="1276"/>
      <c r="G412" s="1278"/>
      <c r="H412" s="1282"/>
      <c r="I412" s="1283"/>
      <c r="J412" s="1297"/>
      <c r="K412" s="1276"/>
      <c r="L412" s="1276"/>
      <c r="M412" s="1278"/>
      <c r="N412" s="1276"/>
      <c r="O412" s="1276"/>
      <c r="P412" s="795" t="s">
        <v>3017</v>
      </c>
      <c r="Q412" s="752" t="s">
        <v>4020</v>
      </c>
      <c r="R412" s="796">
        <v>5</v>
      </c>
      <c r="S412" s="798"/>
    </row>
    <row r="413" spans="1:19" ht="45">
      <c r="A413" s="1289"/>
      <c r="B413" s="1276"/>
      <c r="C413" s="1276"/>
      <c r="D413" s="1278"/>
      <c r="E413" s="1278"/>
      <c r="F413" s="1276"/>
      <c r="G413" s="1278"/>
      <c r="H413" s="1282"/>
      <c r="I413" s="1283"/>
      <c r="J413" s="1297"/>
      <c r="K413" s="1276"/>
      <c r="L413" s="1276"/>
      <c r="M413" s="1278"/>
      <c r="N413" s="1276"/>
      <c r="O413" s="1276"/>
      <c r="P413" s="795" t="s">
        <v>4026</v>
      </c>
      <c r="Q413" s="752" t="s">
        <v>4020</v>
      </c>
      <c r="R413" s="796">
        <v>14</v>
      </c>
      <c r="S413" s="798"/>
    </row>
    <row r="414" spans="1:19" ht="67.5">
      <c r="A414" s="1289">
        <v>4</v>
      </c>
      <c r="B414" s="1276">
        <v>738433</v>
      </c>
      <c r="C414" s="1276" t="s">
        <v>189</v>
      </c>
      <c r="D414" s="1277" t="s">
        <v>1316</v>
      </c>
      <c r="E414" s="1277" t="s">
        <v>1317</v>
      </c>
      <c r="F414" s="1288" t="s">
        <v>3660</v>
      </c>
      <c r="G414" s="1277">
        <v>2</v>
      </c>
      <c r="H414" s="1280" t="s">
        <v>3568</v>
      </c>
      <c r="I414" s="1281"/>
      <c r="J414" s="1296" t="s">
        <v>4027</v>
      </c>
      <c r="K414" s="1276">
        <v>0</v>
      </c>
      <c r="L414" s="1276">
        <v>4</v>
      </c>
      <c r="M414" s="1277" t="s">
        <v>4028</v>
      </c>
      <c r="N414" s="1276" t="s">
        <v>1316</v>
      </c>
      <c r="O414" s="1276" t="s">
        <v>1317</v>
      </c>
      <c r="P414" s="795" t="s">
        <v>1318</v>
      </c>
      <c r="Q414" s="752" t="s">
        <v>4020</v>
      </c>
      <c r="R414" s="796">
        <v>500</v>
      </c>
      <c r="S414" s="798"/>
    </row>
    <row r="415" spans="1:19" ht="22.5">
      <c r="A415" s="1289"/>
      <c r="B415" s="1276"/>
      <c r="C415" s="1276"/>
      <c r="D415" s="1278"/>
      <c r="E415" s="1278"/>
      <c r="F415" s="1288"/>
      <c r="G415" s="1278"/>
      <c r="H415" s="1282"/>
      <c r="I415" s="1283"/>
      <c r="J415" s="1297"/>
      <c r="K415" s="1276"/>
      <c r="L415" s="1276"/>
      <c r="M415" s="1278"/>
      <c r="N415" s="1276"/>
      <c r="O415" s="1276"/>
      <c r="P415" s="795" t="s">
        <v>3022</v>
      </c>
      <c r="Q415" s="752" t="s">
        <v>4020</v>
      </c>
      <c r="R415" s="796">
        <v>50</v>
      </c>
      <c r="S415" s="798"/>
    </row>
    <row r="416" spans="1:19" ht="67.5">
      <c r="A416" s="1289"/>
      <c r="B416" s="1276"/>
      <c r="C416" s="1276"/>
      <c r="D416" s="1278"/>
      <c r="E416" s="1278"/>
      <c r="F416" s="1288"/>
      <c r="G416" s="1278"/>
      <c r="H416" s="1282"/>
      <c r="I416" s="1283"/>
      <c r="J416" s="1297"/>
      <c r="K416" s="1276"/>
      <c r="L416" s="1276"/>
      <c r="M416" s="1278"/>
      <c r="N416" s="1276"/>
      <c r="O416" s="1276"/>
      <c r="P416" s="795" t="s">
        <v>3023</v>
      </c>
      <c r="Q416" s="752" t="s">
        <v>4020</v>
      </c>
      <c r="R416" s="796">
        <v>3500</v>
      </c>
      <c r="S416" s="798"/>
    </row>
    <row r="417" spans="1:19" ht="22.5">
      <c r="A417" s="1289"/>
      <c r="B417" s="1276"/>
      <c r="C417" s="1276"/>
      <c r="D417" s="1278"/>
      <c r="E417" s="1278"/>
      <c r="F417" s="1288"/>
      <c r="G417" s="1278"/>
      <c r="H417" s="1282"/>
      <c r="I417" s="1283"/>
      <c r="J417" s="1297"/>
      <c r="K417" s="1276"/>
      <c r="L417" s="1276"/>
      <c r="M417" s="1278"/>
      <c r="N417" s="1276"/>
      <c r="O417" s="1276"/>
      <c r="P417" s="795" t="s">
        <v>3024</v>
      </c>
      <c r="Q417" s="752" t="s">
        <v>4020</v>
      </c>
      <c r="R417" s="796">
        <v>100</v>
      </c>
      <c r="S417" s="798"/>
    </row>
    <row r="418" spans="1:19" ht="45">
      <c r="A418" s="1289"/>
      <c r="B418" s="1276"/>
      <c r="C418" s="1276"/>
      <c r="D418" s="1279"/>
      <c r="E418" s="1279"/>
      <c r="F418" s="1288"/>
      <c r="G418" s="1279"/>
      <c r="H418" s="1284"/>
      <c r="I418" s="1285"/>
      <c r="J418" s="1298"/>
      <c r="K418" s="1276"/>
      <c r="L418" s="1276"/>
      <c r="M418" s="1279"/>
      <c r="N418" s="1276"/>
      <c r="O418" s="1276"/>
      <c r="P418" s="795" t="s">
        <v>3025</v>
      </c>
      <c r="Q418" s="752" t="s">
        <v>4020</v>
      </c>
      <c r="R418" s="796">
        <v>200</v>
      </c>
      <c r="S418" s="798"/>
    </row>
    <row r="419" spans="1:19" ht="45">
      <c r="A419" s="1289">
        <v>5</v>
      </c>
      <c r="B419" s="1276">
        <v>738457</v>
      </c>
      <c r="C419" s="1276" t="s">
        <v>1319</v>
      </c>
      <c r="D419" s="1277" t="s">
        <v>1320</v>
      </c>
      <c r="E419" s="1277" t="s">
        <v>1320</v>
      </c>
      <c r="F419" s="1276">
        <v>5</v>
      </c>
      <c r="G419" s="1277">
        <v>4</v>
      </c>
      <c r="H419" s="1280" t="s">
        <v>4029</v>
      </c>
      <c r="I419" s="1281"/>
      <c r="J419" s="1296" t="s">
        <v>4030</v>
      </c>
      <c r="K419" s="1276">
        <v>0</v>
      </c>
      <c r="L419" s="1276">
        <v>6</v>
      </c>
      <c r="M419" s="1293" t="s">
        <v>4031</v>
      </c>
      <c r="N419" s="1276" t="s">
        <v>1320</v>
      </c>
      <c r="O419" s="1276" t="s">
        <v>1320</v>
      </c>
      <c r="P419" s="795" t="s">
        <v>3026</v>
      </c>
      <c r="Q419" s="752" t="s">
        <v>4020</v>
      </c>
      <c r="R419" s="796">
        <v>100</v>
      </c>
      <c r="S419" s="798"/>
    </row>
    <row r="420" spans="1:19" ht="67.5">
      <c r="A420" s="1289"/>
      <c r="B420" s="1276"/>
      <c r="C420" s="1276"/>
      <c r="D420" s="1278"/>
      <c r="E420" s="1278"/>
      <c r="F420" s="1276"/>
      <c r="G420" s="1278"/>
      <c r="H420" s="1282"/>
      <c r="I420" s="1283"/>
      <c r="J420" s="1297"/>
      <c r="K420" s="1276"/>
      <c r="L420" s="1276"/>
      <c r="M420" s="1294"/>
      <c r="N420" s="1276"/>
      <c r="O420" s="1276"/>
      <c r="P420" s="795" t="s">
        <v>3027</v>
      </c>
      <c r="Q420" s="752" t="s">
        <v>4020</v>
      </c>
      <c r="R420" s="796">
        <v>10</v>
      </c>
      <c r="S420" s="798"/>
    </row>
    <row r="421" spans="1:19" ht="45">
      <c r="A421" s="1289"/>
      <c r="B421" s="1276"/>
      <c r="C421" s="1276"/>
      <c r="D421" s="1279"/>
      <c r="E421" s="1279"/>
      <c r="F421" s="1276"/>
      <c r="G421" s="1278"/>
      <c r="H421" s="1284"/>
      <c r="I421" s="1285"/>
      <c r="J421" s="1297"/>
      <c r="K421" s="1276"/>
      <c r="L421" s="1276"/>
      <c r="M421" s="1294"/>
      <c r="N421" s="1276"/>
      <c r="O421" s="1276"/>
      <c r="P421" s="795" t="s">
        <v>3028</v>
      </c>
      <c r="Q421" s="752" t="s">
        <v>4020</v>
      </c>
      <c r="R421" s="796">
        <v>100</v>
      </c>
      <c r="S421" s="798"/>
    </row>
    <row r="422" spans="1:19" ht="90">
      <c r="A422" s="1289">
        <v>6</v>
      </c>
      <c r="B422" s="1276">
        <v>740212</v>
      </c>
      <c r="C422" s="1276" t="s">
        <v>1321</v>
      </c>
      <c r="D422" s="1277" t="s">
        <v>1322</v>
      </c>
      <c r="E422" s="1277" t="s">
        <v>1323</v>
      </c>
      <c r="F422" s="1276">
        <v>5</v>
      </c>
      <c r="G422" s="1277">
        <v>3</v>
      </c>
      <c r="H422" s="1280" t="s">
        <v>4032</v>
      </c>
      <c r="I422" s="1281"/>
      <c r="J422" s="1296" t="s">
        <v>4033</v>
      </c>
      <c r="K422" s="1276">
        <v>0</v>
      </c>
      <c r="L422" s="1276">
        <v>5</v>
      </c>
      <c r="M422" s="1277" t="s">
        <v>4034</v>
      </c>
      <c r="N422" s="1276" t="s">
        <v>1322</v>
      </c>
      <c r="O422" s="1276" t="s">
        <v>1323</v>
      </c>
      <c r="P422" s="795" t="s">
        <v>3029</v>
      </c>
      <c r="Q422" s="752" t="s">
        <v>4020</v>
      </c>
      <c r="R422" s="796">
        <v>200</v>
      </c>
      <c r="S422" s="798"/>
    </row>
    <row r="423" spans="1:19" ht="22.5">
      <c r="A423" s="1289"/>
      <c r="B423" s="1276"/>
      <c r="C423" s="1276"/>
      <c r="D423" s="1278"/>
      <c r="E423" s="1278"/>
      <c r="F423" s="1276"/>
      <c r="G423" s="1278"/>
      <c r="H423" s="1282"/>
      <c r="I423" s="1283"/>
      <c r="J423" s="1297"/>
      <c r="K423" s="1276"/>
      <c r="L423" s="1276"/>
      <c r="M423" s="1278"/>
      <c r="N423" s="1276"/>
      <c r="O423" s="1276"/>
      <c r="P423" s="795" t="s">
        <v>1324</v>
      </c>
      <c r="Q423" s="752" t="s">
        <v>4020</v>
      </c>
      <c r="R423" s="796">
        <v>500</v>
      </c>
      <c r="S423" s="798"/>
    </row>
    <row r="424" spans="1:19" ht="22.5">
      <c r="A424" s="1289"/>
      <c r="B424" s="1276"/>
      <c r="C424" s="1276"/>
      <c r="D424" s="1278"/>
      <c r="E424" s="1278"/>
      <c r="F424" s="1276"/>
      <c r="G424" s="1278"/>
      <c r="H424" s="1282"/>
      <c r="I424" s="1283"/>
      <c r="J424" s="1297"/>
      <c r="K424" s="1276"/>
      <c r="L424" s="1276"/>
      <c r="M424" s="1278"/>
      <c r="N424" s="1276"/>
      <c r="O424" s="1276"/>
      <c r="P424" s="795" t="s">
        <v>3030</v>
      </c>
      <c r="Q424" s="752" t="s">
        <v>4020</v>
      </c>
      <c r="R424" s="796">
        <v>14</v>
      </c>
      <c r="S424" s="797"/>
    </row>
    <row r="425" spans="1:19" ht="45">
      <c r="A425" s="1289"/>
      <c r="B425" s="1276"/>
      <c r="C425" s="1276"/>
      <c r="D425" s="1278"/>
      <c r="E425" s="1278"/>
      <c r="F425" s="1276"/>
      <c r="G425" s="1278"/>
      <c r="H425" s="1282"/>
      <c r="I425" s="1283"/>
      <c r="J425" s="1297"/>
      <c r="K425" s="1276"/>
      <c r="L425" s="1276"/>
      <c r="M425" s="1278"/>
      <c r="N425" s="1276"/>
      <c r="O425" s="1276"/>
      <c r="P425" s="795" t="s">
        <v>3031</v>
      </c>
      <c r="Q425" s="752" t="s">
        <v>4020</v>
      </c>
      <c r="R425" s="796">
        <v>36</v>
      </c>
      <c r="S425" s="797"/>
    </row>
    <row r="426" spans="1:19" ht="67.5">
      <c r="A426" s="1289"/>
      <c r="B426" s="1276"/>
      <c r="C426" s="1276"/>
      <c r="D426" s="1278"/>
      <c r="E426" s="1278"/>
      <c r="F426" s="1276"/>
      <c r="G426" s="1278"/>
      <c r="H426" s="1282"/>
      <c r="I426" s="1283"/>
      <c r="J426" s="1297"/>
      <c r="K426" s="1276"/>
      <c r="L426" s="1276"/>
      <c r="M426" s="1278"/>
      <c r="N426" s="1276"/>
      <c r="O426" s="1276"/>
      <c r="P426" s="795" t="s">
        <v>3032</v>
      </c>
      <c r="Q426" s="752" t="s">
        <v>4020</v>
      </c>
      <c r="R426" s="796">
        <v>10</v>
      </c>
      <c r="S426" s="797"/>
    </row>
    <row r="427" spans="1:19" ht="45">
      <c r="A427" s="1289"/>
      <c r="B427" s="1276"/>
      <c r="C427" s="1276"/>
      <c r="D427" s="1279"/>
      <c r="E427" s="1279"/>
      <c r="F427" s="1276"/>
      <c r="G427" s="1279"/>
      <c r="H427" s="1284"/>
      <c r="I427" s="1285"/>
      <c r="J427" s="1298"/>
      <c r="K427" s="1276"/>
      <c r="L427" s="1276"/>
      <c r="M427" s="1279"/>
      <c r="N427" s="1276"/>
      <c r="O427" s="1276"/>
      <c r="P427" s="795" t="s">
        <v>3033</v>
      </c>
      <c r="Q427" s="752" t="s">
        <v>4020</v>
      </c>
      <c r="R427" s="796">
        <v>14</v>
      </c>
      <c r="S427" s="798"/>
    </row>
    <row r="428" spans="1:19" ht="157.5">
      <c r="A428" s="1289">
        <v>7</v>
      </c>
      <c r="B428" s="1276">
        <v>740520</v>
      </c>
      <c r="C428" s="1276" t="s">
        <v>1325</v>
      </c>
      <c r="D428" s="1276" t="s">
        <v>3034</v>
      </c>
      <c r="E428" s="1276" t="s">
        <v>3034</v>
      </c>
      <c r="F428" s="1276">
        <v>5</v>
      </c>
      <c r="G428" s="1277">
        <v>3</v>
      </c>
      <c r="H428" s="1280" t="s">
        <v>4035</v>
      </c>
      <c r="I428" s="1281"/>
      <c r="J428" s="1296" t="s">
        <v>4036</v>
      </c>
      <c r="K428" s="1276">
        <v>0</v>
      </c>
      <c r="L428" s="1276">
        <v>7</v>
      </c>
      <c r="M428" s="1277" t="s">
        <v>4037</v>
      </c>
      <c r="N428" s="1276" t="s">
        <v>3034</v>
      </c>
      <c r="O428" s="1276" t="s">
        <v>3034</v>
      </c>
      <c r="P428" s="795" t="s">
        <v>3035</v>
      </c>
      <c r="Q428" s="752" t="s">
        <v>4020</v>
      </c>
      <c r="R428" s="796">
        <v>200</v>
      </c>
      <c r="S428" s="798"/>
    </row>
    <row r="429" spans="1:19" ht="90">
      <c r="A429" s="1289"/>
      <c r="B429" s="1276"/>
      <c r="C429" s="1276"/>
      <c r="D429" s="1276"/>
      <c r="E429" s="1276"/>
      <c r="F429" s="1276"/>
      <c r="G429" s="1278"/>
      <c r="H429" s="1282"/>
      <c r="I429" s="1283"/>
      <c r="J429" s="1297"/>
      <c r="K429" s="1276"/>
      <c r="L429" s="1276"/>
      <c r="M429" s="1278"/>
      <c r="N429" s="1276"/>
      <c r="O429" s="1276"/>
      <c r="P429" s="795" t="s">
        <v>3036</v>
      </c>
      <c r="Q429" s="752" t="s">
        <v>4020</v>
      </c>
      <c r="R429" s="796">
        <v>10</v>
      </c>
      <c r="S429" s="798"/>
    </row>
    <row r="430" spans="1:19" ht="45">
      <c r="A430" s="1289"/>
      <c r="B430" s="1276"/>
      <c r="C430" s="1276"/>
      <c r="D430" s="1276"/>
      <c r="E430" s="1276"/>
      <c r="F430" s="1276"/>
      <c r="G430" s="1279"/>
      <c r="H430" s="1284"/>
      <c r="I430" s="1285"/>
      <c r="J430" s="1298"/>
      <c r="K430" s="1276"/>
      <c r="L430" s="1276"/>
      <c r="M430" s="1279"/>
      <c r="N430" s="1276"/>
      <c r="O430" s="1276"/>
      <c r="P430" s="795" t="s">
        <v>3037</v>
      </c>
      <c r="Q430" s="752" t="s">
        <v>4020</v>
      </c>
      <c r="R430" s="796">
        <v>100</v>
      </c>
      <c r="S430" s="798"/>
    </row>
    <row r="431" spans="1:19" ht="90">
      <c r="A431" s="1289">
        <v>8</v>
      </c>
      <c r="B431" s="1276">
        <v>739690</v>
      </c>
      <c r="C431" s="1276" t="s">
        <v>1326</v>
      </c>
      <c r="D431" s="1277" t="s">
        <v>1327</v>
      </c>
      <c r="E431" s="1277" t="s">
        <v>1328</v>
      </c>
      <c r="F431" s="1276">
        <v>4</v>
      </c>
      <c r="G431" s="1277">
        <v>2</v>
      </c>
      <c r="H431" s="1280" t="s">
        <v>3725</v>
      </c>
      <c r="I431" s="1281"/>
      <c r="J431" s="1296" t="s">
        <v>1329</v>
      </c>
      <c r="K431" s="1276">
        <v>0</v>
      </c>
      <c r="L431" s="1276">
        <v>4</v>
      </c>
      <c r="M431" s="1277" t="s">
        <v>4038</v>
      </c>
      <c r="N431" s="1276" t="s">
        <v>1327</v>
      </c>
      <c r="O431" s="1276" t="s">
        <v>1328</v>
      </c>
      <c r="P431" s="795" t="s">
        <v>1330</v>
      </c>
      <c r="Q431" s="752" t="s">
        <v>4020</v>
      </c>
      <c r="R431" s="796">
        <v>200</v>
      </c>
      <c r="S431" s="797"/>
    </row>
    <row r="432" spans="1:19" ht="67.5">
      <c r="A432" s="1289"/>
      <c r="B432" s="1276"/>
      <c r="C432" s="1276"/>
      <c r="D432" s="1278"/>
      <c r="E432" s="1278"/>
      <c r="F432" s="1276"/>
      <c r="G432" s="1278"/>
      <c r="H432" s="1282"/>
      <c r="I432" s="1283"/>
      <c r="J432" s="1297"/>
      <c r="K432" s="1276"/>
      <c r="L432" s="1276"/>
      <c r="M432" s="1278"/>
      <c r="N432" s="1276"/>
      <c r="O432" s="1276"/>
      <c r="P432" s="795" t="s">
        <v>3038</v>
      </c>
      <c r="Q432" s="752" t="s">
        <v>4020</v>
      </c>
      <c r="R432" s="796">
        <v>5</v>
      </c>
      <c r="S432" s="798"/>
    </row>
    <row r="433" spans="1:19" ht="45">
      <c r="A433" s="1289"/>
      <c r="B433" s="1276"/>
      <c r="C433" s="1276"/>
      <c r="D433" s="1278"/>
      <c r="E433" s="1278"/>
      <c r="F433" s="1276"/>
      <c r="G433" s="1278"/>
      <c r="H433" s="1282"/>
      <c r="I433" s="1283"/>
      <c r="J433" s="1297"/>
      <c r="K433" s="1276"/>
      <c r="L433" s="1276"/>
      <c r="M433" s="1278"/>
      <c r="N433" s="1276"/>
      <c r="O433" s="1276"/>
      <c r="P433" s="795" t="s">
        <v>3039</v>
      </c>
      <c r="Q433" s="752" t="s">
        <v>4020</v>
      </c>
      <c r="R433" s="796">
        <v>36</v>
      </c>
      <c r="S433" s="798"/>
    </row>
    <row r="434" spans="1:19" ht="67.5">
      <c r="A434" s="1289"/>
      <c r="B434" s="1276"/>
      <c r="C434" s="1276"/>
      <c r="D434" s="1278"/>
      <c r="E434" s="1278"/>
      <c r="F434" s="1276"/>
      <c r="G434" s="1278"/>
      <c r="H434" s="1282"/>
      <c r="I434" s="1283"/>
      <c r="J434" s="1297"/>
      <c r="K434" s="1276"/>
      <c r="L434" s="1276"/>
      <c r="M434" s="1278"/>
      <c r="N434" s="1276"/>
      <c r="O434" s="1276"/>
      <c r="P434" s="795" t="s">
        <v>3040</v>
      </c>
      <c r="Q434" s="752" t="s">
        <v>4020</v>
      </c>
      <c r="R434" s="796">
        <v>3500</v>
      </c>
      <c r="S434" s="798"/>
    </row>
    <row r="435" spans="1:19" ht="67.5">
      <c r="A435" s="1289"/>
      <c r="B435" s="1276"/>
      <c r="C435" s="1276"/>
      <c r="D435" s="1278"/>
      <c r="E435" s="1278"/>
      <c r="F435" s="1276"/>
      <c r="G435" s="1278"/>
      <c r="H435" s="1282"/>
      <c r="I435" s="1283"/>
      <c r="J435" s="1297"/>
      <c r="K435" s="1276"/>
      <c r="L435" s="1276"/>
      <c r="M435" s="1278"/>
      <c r="N435" s="1276"/>
      <c r="O435" s="1276"/>
      <c r="P435" s="795" t="s">
        <v>3041</v>
      </c>
      <c r="Q435" s="752" t="s">
        <v>4020</v>
      </c>
      <c r="R435" s="796">
        <v>14</v>
      </c>
      <c r="S435" s="798"/>
    </row>
    <row r="436" spans="1:19" ht="45">
      <c r="A436" s="1289"/>
      <c r="B436" s="1276"/>
      <c r="C436" s="1276"/>
      <c r="D436" s="1278"/>
      <c r="E436" s="1278"/>
      <c r="F436" s="1276"/>
      <c r="G436" s="1278"/>
      <c r="H436" s="1282"/>
      <c r="I436" s="1283"/>
      <c r="J436" s="1297"/>
      <c r="K436" s="1276"/>
      <c r="L436" s="1276"/>
      <c r="M436" s="1278"/>
      <c r="N436" s="1276"/>
      <c r="O436" s="1276"/>
      <c r="P436" s="795" t="s">
        <v>3042</v>
      </c>
      <c r="Q436" s="752" t="s">
        <v>4020</v>
      </c>
      <c r="R436" s="796">
        <v>100</v>
      </c>
      <c r="S436" s="798"/>
    </row>
    <row r="437" spans="1:19" ht="45">
      <c r="A437" s="1289"/>
      <c r="B437" s="1276"/>
      <c r="C437" s="1276"/>
      <c r="D437" s="1279"/>
      <c r="E437" s="1279"/>
      <c r="F437" s="1276"/>
      <c r="G437" s="1279"/>
      <c r="H437" s="1284"/>
      <c r="I437" s="1285"/>
      <c r="J437" s="1298"/>
      <c r="K437" s="1276"/>
      <c r="L437" s="1276"/>
      <c r="M437" s="1279"/>
      <c r="N437" s="1276"/>
      <c r="O437" s="1276"/>
      <c r="P437" s="795" t="s">
        <v>3043</v>
      </c>
      <c r="Q437" s="752" t="s">
        <v>4020</v>
      </c>
      <c r="R437" s="796">
        <v>5</v>
      </c>
      <c r="S437" s="798"/>
    </row>
    <row r="438" spans="1:19" ht="67.5">
      <c r="A438" s="1289">
        <v>9</v>
      </c>
      <c r="B438" s="1276">
        <v>738433</v>
      </c>
      <c r="C438" s="1276" t="s">
        <v>189</v>
      </c>
      <c r="D438" s="1277" t="s">
        <v>1331</v>
      </c>
      <c r="E438" s="1277" t="s">
        <v>1332</v>
      </c>
      <c r="F438" s="1276">
        <v>4</v>
      </c>
      <c r="G438" s="1277">
        <v>2</v>
      </c>
      <c r="H438" s="1280" t="s">
        <v>4039</v>
      </c>
      <c r="I438" s="1281"/>
      <c r="J438" s="1296" t="s">
        <v>4040</v>
      </c>
      <c r="K438" s="1276">
        <v>0</v>
      </c>
      <c r="L438" s="1276">
        <v>6</v>
      </c>
      <c r="M438" s="1277" t="s">
        <v>4041</v>
      </c>
      <c r="N438" s="1276" t="s">
        <v>1331</v>
      </c>
      <c r="O438" s="1276" t="s">
        <v>1332</v>
      </c>
      <c r="P438" s="795" t="s">
        <v>1315</v>
      </c>
      <c r="Q438" s="752" t="s">
        <v>4020</v>
      </c>
      <c r="R438" s="796">
        <v>7000</v>
      </c>
      <c r="S438" s="798"/>
    </row>
    <row r="439" spans="1:19" ht="45">
      <c r="A439" s="1289"/>
      <c r="B439" s="1276"/>
      <c r="C439" s="1276"/>
      <c r="D439" s="1278"/>
      <c r="E439" s="1278"/>
      <c r="F439" s="1276"/>
      <c r="G439" s="1278"/>
      <c r="H439" s="1282"/>
      <c r="I439" s="1283"/>
      <c r="J439" s="1297"/>
      <c r="K439" s="1276"/>
      <c r="L439" s="1276"/>
      <c r="M439" s="1278"/>
      <c r="N439" s="1276"/>
      <c r="O439" s="1276"/>
      <c r="P439" s="795" t="s">
        <v>3044</v>
      </c>
      <c r="Q439" s="752" t="s">
        <v>4020</v>
      </c>
      <c r="R439" s="796">
        <v>100</v>
      </c>
      <c r="S439" s="798"/>
    </row>
    <row r="440" spans="1:19" ht="45">
      <c r="A440" s="1289"/>
      <c r="B440" s="1276"/>
      <c r="C440" s="1276"/>
      <c r="D440" s="1278"/>
      <c r="E440" s="1278"/>
      <c r="F440" s="1276"/>
      <c r="G440" s="1278"/>
      <c r="H440" s="1282"/>
      <c r="I440" s="1283"/>
      <c r="J440" s="1297"/>
      <c r="K440" s="1276"/>
      <c r="L440" s="1276"/>
      <c r="M440" s="1278"/>
      <c r="N440" s="1276"/>
      <c r="O440" s="1276"/>
      <c r="P440" s="795" t="s">
        <v>3045</v>
      </c>
      <c r="Q440" s="752" t="s">
        <v>4020</v>
      </c>
      <c r="R440" s="796">
        <v>5</v>
      </c>
      <c r="S440" s="797"/>
    </row>
    <row r="441" spans="1:19" ht="67.5">
      <c r="A441" s="1289"/>
      <c r="B441" s="1276"/>
      <c r="C441" s="1276"/>
      <c r="D441" s="1278"/>
      <c r="E441" s="1278"/>
      <c r="F441" s="1276"/>
      <c r="G441" s="1278"/>
      <c r="H441" s="1282"/>
      <c r="I441" s="1283"/>
      <c r="J441" s="1297"/>
      <c r="K441" s="1276"/>
      <c r="L441" s="1276"/>
      <c r="M441" s="1278"/>
      <c r="N441" s="1276"/>
      <c r="O441" s="1276"/>
      <c r="P441" s="795" t="s">
        <v>3046</v>
      </c>
      <c r="Q441" s="752" t="s">
        <v>4020</v>
      </c>
      <c r="R441" s="796">
        <v>10</v>
      </c>
      <c r="S441" s="798"/>
    </row>
    <row r="442" spans="1:19" ht="67.5">
      <c r="A442" s="1289"/>
      <c r="B442" s="1276"/>
      <c r="C442" s="1276"/>
      <c r="D442" s="1279"/>
      <c r="E442" s="1279"/>
      <c r="F442" s="1276"/>
      <c r="G442" s="1279"/>
      <c r="H442" s="1284"/>
      <c r="I442" s="1285"/>
      <c r="J442" s="1298"/>
      <c r="K442" s="1276"/>
      <c r="L442" s="1276"/>
      <c r="M442" s="1279"/>
      <c r="N442" s="1276"/>
      <c r="O442" s="1276"/>
      <c r="P442" s="795" t="s">
        <v>3047</v>
      </c>
      <c r="Q442" s="752" t="s">
        <v>4020</v>
      </c>
      <c r="R442" s="796">
        <v>500</v>
      </c>
      <c r="S442" s="798"/>
    </row>
    <row r="443" spans="1:19" ht="67.5">
      <c r="A443" s="1289">
        <v>10</v>
      </c>
      <c r="B443" s="1276">
        <v>739026</v>
      </c>
      <c r="C443" s="1276" t="s">
        <v>1334</v>
      </c>
      <c r="D443" s="1277" t="s">
        <v>1335</v>
      </c>
      <c r="E443" s="1277" t="s">
        <v>1336</v>
      </c>
      <c r="F443" s="1276">
        <v>5</v>
      </c>
      <c r="G443" s="1277">
        <v>3</v>
      </c>
      <c r="H443" s="1280" t="s">
        <v>4042</v>
      </c>
      <c r="I443" s="1281"/>
      <c r="J443" s="1296" t="s">
        <v>4043</v>
      </c>
      <c r="K443" s="1276">
        <v>0</v>
      </c>
      <c r="L443" s="1276">
        <v>5</v>
      </c>
      <c r="M443" s="1293" t="s">
        <v>4044</v>
      </c>
      <c r="N443" s="1276" t="s">
        <v>1335</v>
      </c>
      <c r="O443" s="1276" t="s">
        <v>1336</v>
      </c>
      <c r="P443" s="795" t="s">
        <v>3048</v>
      </c>
      <c r="Q443" s="752" t="s">
        <v>4020</v>
      </c>
      <c r="R443" s="796">
        <v>40</v>
      </c>
      <c r="S443" s="798"/>
    </row>
    <row r="444" spans="1:19" ht="90">
      <c r="A444" s="1289"/>
      <c r="B444" s="1276"/>
      <c r="C444" s="1276"/>
      <c r="D444" s="1278"/>
      <c r="E444" s="1278"/>
      <c r="F444" s="1276"/>
      <c r="G444" s="1278"/>
      <c r="H444" s="1282"/>
      <c r="I444" s="1283"/>
      <c r="J444" s="1297"/>
      <c r="K444" s="1276"/>
      <c r="L444" s="1276"/>
      <c r="M444" s="1294"/>
      <c r="N444" s="1276"/>
      <c r="O444" s="1276"/>
      <c r="P444" s="795" t="s">
        <v>3049</v>
      </c>
      <c r="Q444" s="752" t="s">
        <v>4020</v>
      </c>
      <c r="R444" s="796">
        <v>200</v>
      </c>
      <c r="S444" s="798"/>
    </row>
    <row r="445" spans="1:19" ht="90">
      <c r="A445" s="1289"/>
      <c r="B445" s="1276"/>
      <c r="C445" s="1276"/>
      <c r="D445" s="1278"/>
      <c r="E445" s="1278"/>
      <c r="F445" s="1276"/>
      <c r="G445" s="1278"/>
      <c r="H445" s="1282"/>
      <c r="I445" s="1283"/>
      <c r="J445" s="1297"/>
      <c r="K445" s="1276"/>
      <c r="L445" s="1276"/>
      <c r="M445" s="1294"/>
      <c r="N445" s="1276"/>
      <c r="O445" s="1276"/>
      <c r="P445" s="795" t="s">
        <v>3682</v>
      </c>
      <c r="Q445" s="752" t="s">
        <v>4020</v>
      </c>
      <c r="R445" s="796">
        <v>200</v>
      </c>
      <c r="S445" s="798"/>
    </row>
    <row r="446" spans="1:19" ht="90">
      <c r="A446" s="1289"/>
      <c r="B446" s="1276"/>
      <c r="C446" s="1276"/>
      <c r="D446" s="1279"/>
      <c r="E446" s="1279"/>
      <c r="F446" s="1276"/>
      <c r="G446" s="1279"/>
      <c r="H446" s="1284"/>
      <c r="I446" s="1285"/>
      <c r="J446" s="1298"/>
      <c r="K446" s="1276"/>
      <c r="L446" s="1276"/>
      <c r="M446" s="1295"/>
      <c r="N446" s="1276"/>
      <c r="O446" s="1276"/>
      <c r="P446" s="795" t="s">
        <v>3050</v>
      </c>
      <c r="Q446" s="752" t="s">
        <v>4020</v>
      </c>
      <c r="R446" s="796">
        <v>100</v>
      </c>
      <c r="S446" s="798"/>
    </row>
    <row r="447" spans="1:19" ht="67.5">
      <c r="A447" s="1289">
        <v>11</v>
      </c>
      <c r="B447" s="1276">
        <v>739026</v>
      </c>
      <c r="C447" s="1276" t="s">
        <v>1337</v>
      </c>
      <c r="D447" s="1277" t="s">
        <v>3051</v>
      </c>
      <c r="E447" s="1277" t="s">
        <v>3052</v>
      </c>
      <c r="F447" s="1276">
        <v>4</v>
      </c>
      <c r="G447" s="1277">
        <v>1</v>
      </c>
      <c r="H447" s="1280" t="s">
        <v>4045</v>
      </c>
      <c r="I447" s="1281"/>
      <c r="J447" s="1296" t="s">
        <v>4046</v>
      </c>
      <c r="K447" s="1276">
        <v>0</v>
      </c>
      <c r="L447" s="1276">
        <v>6</v>
      </c>
      <c r="M447" s="1293" t="s">
        <v>4047</v>
      </c>
      <c r="N447" s="1276" t="s">
        <v>3051</v>
      </c>
      <c r="O447" s="1276" t="s">
        <v>3052</v>
      </c>
      <c r="P447" s="795" t="s">
        <v>3053</v>
      </c>
      <c r="Q447" s="752" t="s">
        <v>4020</v>
      </c>
      <c r="R447" s="796">
        <v>15</v>
      </c>
      <c r="S447" s="798"/>
    </row>
    <row r="448" spans="1:19" ht="45">
      <c r="A448" s="1289"/>
      <c r="B448" s="1276"/>
      <c r="C448" s="1276"/>
      <c r="D448" s="1278"/>
      <c r="E448" s="1278"/>
      <c r="F448" s="1276"/>
      <c r="G448" s="1278"/>
      <c r="H448" s="1282"/>
      <c r="I448" s="1283"/>
      <c r="J448" s="1297"/>
      <c r="K448" s="1276"/>
      <c r="L448" s="1276"/>
      <c r="M448" s="1294"/>
      <c r="N448" s="1276"/>
      <c r="O448" s="1276"/>
      <c r="P448" s="795" t="s">
        <v>3054</v>
      </c>
      <c r="Q448" s="752" t="s">
        <v>4020</v>
      </c>
      <c r="R448" s="796">
        <v>36</v>
      </c>
      <c r="S448" s="798"/>
    </row>
    <row r="449" spans="1:19" ht="45">
      <c r="A449" s="1289"/>
      <c r="B449" s="1276"/>
      <c r="C449" s="1276"/>
      <c r="D449" s="1279"/>
      <c r="E449" s="1279"/>
      <c r="F449" s="1276"/>
      <c r="G449" s="1279"/>
      <c r="H449" s="1284"/>
      <c r="I449" s="1285"/>
      <c r="J449" s="1298"/>
      <c r="K449" s="1276"/>
      <c r="L449" s="1276"/>
      <c r="M449" s="1295"/>
      <c r="N449" s="1276"/>
      <c r="O449" s="1276"/>
      <c r="P449" s="795" t="s">
        <v>3017</v>
      </c>
      <c r="Q449" s="752" t="s">
        <v>4020</v>
      </c>
      <c r="R449" s="796">
        <v>14</v>
      </c>
      <c r="S449" s="798"/>
    </row>
    <row r="450" spans="1:19" ht="67.5">
      <c r="A450" s="1289">
        <v>12</v>
      </c>
      <c r="B450" s="1276">
        <v>738331</v>
      </c>
      <c r="C450" s="1276" t="s">
        <v>3055</v>
      </c>
      <c r="D450" s="1276" t="s">
        <v>1353</v>
      </c>
      <c r="E450" s="1276" t="s">
        <v>1353</v>
      </c>
      <c r="F450" s="1276">
        <v>4</v>
      </c>
      <c r="G450" s="1277">
        <v>2</v>
      </c>
      <c r="H450" s="1280" t="s">
        <v>3687</v>
      </c>
      <c r="I450" s="1281"/>
      <c r="J450" s="1296" t="s">
        <v>4048</v>
      </c>
      <c r="K450" s="1276">
        <v>1</v>
      </c>
      <c r="L450" s="1276">
        <v>3</v>
      </c>
      <c r="M450" s="1277" t="s">
        <v>4049</v>
      </c>
      <c r="N450" s="1276" t="s">
        <v>1353</v>
      </c>
      <c r="O450" s="1276" t="s">
        <v>1353</v>
      </c>
      <c r="P450" s="795" t="s">
        <v>3690</v>
      </c>
      <c r="Q450" s="752" t="s">
        <v>4020</v>
      </c>
      <c r="R450" s="796">
        <v>40</v>
      </c>
      <c r="S450" s="798"/>
    </row>
    <row r="451" spans="1:19" ht="90">
      <c r="A451" s="1289"/>
      <c r="B451" s="1276"/>
      <c r="C451" s="1276"/>
      <c r="D451" s="1276"/>
      <c r="E451" s="1276"/>
      <c r="F451" s="1276"/>
      <c r="G451" s="1279"/>
      <c r="H451" s="1284"/>
      <c r="I451" s="1285"/>
      <c r="J451" s="1298"/>
      <c r="K451" s="1276"/>
      <c r="L451" s="1276"/>
      <c r="M451" s="1279"/>
      <c r="N451" s="1276"/>
      <c r="O451" s="1276"/>
      <c r="P451" s="795" t="s">
        <v>3056</v>
      </c>
      <c r="Q451" s="752" t="s">
        <v>4020</v>
      </c>
      <c r="R451" s="796">
        <v>100</v>
      </c>
      <c r="S451" s="798"/>
    </row>
    <row r="452" spans="1:19" ht="135">
      <c r="A452" s="1289">
        <v>13</v>
      </c>
      <c r="B452" s="1276">
        <v>749458</v>
      </c>
      <c r="C452" s="1276" t="s">
        <v>1338</v>
      </c>
      <c r="D452" s="1276" t="s">
        <v>1339</v>
      </c>
      <c r="E452" s="1276" t="s">
        <v>1339</v>
      </c>
      <c r="F452" s="1276">
        <v>5</v>
      </c>
      <c r="G452" s="1277">
        <v>2</v>
      </c>
      <c r="H452" s="1280" t="s">
        <v>3669</v>
      </c>
      <c r="I452" s="1281"/>
      <c r="J452" s="1296" t="s">
        <v>4050</v>
      </c>
      <c r="K452" s="1276">
        <v>1</v>
      </c>
      <c r="L452" s="1276">
        <v>4</v>
      </c>
      <c r="M452" s="1277" t="s">
        <v>4051</v>
      </c>
      <c r="N452" s="1276" t="s">
        <v>1339</v>
      </c>
      <c r="O452" s="1276" t="s">
        <v>1339</v>
      </c>
      <c r="P452" s="795" t="s">
        <v>1340</v>
      </c>
      <c r="Q452" s="752" t="s">
        <v>4020</v>
      </c>
      <c r="R452" s="796">
        <v>200</v>
      </c>
      <c r="S452" s="798"/>
    </row>
    <row r="453" spans="1:19" ht="67.5">
      <c r="A453" s="1289"/>
      <c r="B453" s="1276"/>
      <c r="C453" s="1276"/>
      <c r="D453" s="1276"/>
      <c r="E453" s="1276"/>
      <c r="F453" s="1276"/>
      <c r="G453" s="1278"/>
      <c r="H453" s="1282"/>
      <c r="I453" s="1283"/>
      <c r="J453" s="1297"/>
      <c r="K453" s="1276"/>
      <c r="L453" s="1276"/>
      <c r="M453" s="1278"/>
      <c r="N453" s="1276"/>
      <c r="O453" s="1276"/>
      <c r="P453" s="795" t="s">
        <v>3057</v>
      </c>
      <c r="Q453" s="752" t="s">
        <v>4020</v>
      </c>
      <c r="R453" s="796">
        <v>7000</v>
      </c>
      <c r="S453" s="798"/>
    </row>
    <row r="454" spans="1:19" s="391" customFormat="1" ht="90">
      <c r="A454" s="1289"/>
      <c r="B454" s="1276"/>
      <c r="C454" s="1276"/>
      <c r="D454" s="1276"/>
      <c r="E454" s="1276"/>
      <c r="F454" s="1276"/>
      <c r="G454" s="1278"/>
      <c r="H454" s="1282"/>
      <c r="I454" s="1283"/>
      <c r="J454" s="1297"/>
      <c r="K454" s="1276"/>
      <c r="L454" s="1276"/>
      <c r="M454" s="1278"/>
      <c r="N454" s="1276"/>
      <c r="O454" s="1276"/>
      <c r="P454" s="795" t="s">
        <v>3058</v>
      </c>
      <c r="Q454" s="752" t="s">
        <v>4020</v>
      </c>
      <c r="R454" s="796">
        <v>100</v>
      </c>
      <c r="S454" s="798"/>
    </row>
    <row r="455" spans="1:19" s="391" customFormat="1" ht="45">
      <c r="A455" s="1289"/>
      <c r="B455" s="1276"/>
      <c r="C455" s="1276"/>
      <c r="D455" s="1276"/>
      <c r="E455" s="1276"/>
      <c r="F455" s="1276"/>
      <c r="G455" s="1278"/>
      <c r="H455" s="1282"/>
      <c r="I455" s="1283"/>
      <c r="J455" s="1297"/>
      <c r="K455" s="1276"/>
      <c r="L455" s="1276"/>
      <c r="M455" s="1278"/>
      <c r="N455" s="1276"/>
      <c r="O455" s="1276"/>
      <c r="P455" s="795" t="s">
        <v>3059</v>
      </c>
      <c r="Q455" s="752" t="s">
        <v>4020</v>
      </c>
      <c r="R455" s="796">
        <v>10</v>
      </c>
      <c r="S455" s="798"/>
    </row>
    <row r="456" spans="1:19" s="391" customFormat="1" ht="45">
      <c r="A456" s="1289"/>
      <c r="B456" s="1276"/>
      <c r="C456" s="1276"/>
      <c r="D456" s="1276"/>
      <c r="E456" s="1276"/>
      <c r="F456" s="1276"/>
      <c r="G456" s="1279"/>
      <c r="H456" s="1284"/>
      <c r="I456" s="1285"/>
      <c r="J456" s="1298"/>
      <c r="K456" s="1276"/>
      <c r="L456" s="1276"/>
      <c r="M456" s="1279"/>
      <c r="N456" s="1276"/>
      <c r="O456" s="1276"/>
      <c r="P456" s="795" t="s">
        <v>3694</v>
      </c>
      <c r="Q456" s="752" t="s">
        <v>4020</v>
      </c>
      <c r="R456" s="796">
        <v>40</v>
      </c>
      <c r="S456" s="797"/>
    </row>
    <row r="457" spans="1:19" ht="22.5">
      <c r="A457" s="1289">
        <v>14</v>
      </c>
      <c r="B457" s="1276">
        <v>742735</v>
      </c>
      <c r="C457" s="1276" t="s">
        <v>1341</v>
      </c>
      <c r="D457" s="1277" t="s">
        <v>1342</v>
      </c>
      <c r="E457" s="1277" t="s">
        <v>1343</v>
      </c>
      <c r="F457" s="1276">
        <v>5</v>
      </c>
      <c r="G457" s="1277">
        <v>2</v>
      </c>
      <c r="H457" s="1280" t="s">
        <v>3647</v>
      </c>
      <c r="I457" s="1281"/>
      <c r="J457" s="1296" t="s">
        <v>1344</v>
      </c>
      <c r="K457" s="1276">
        <v>0</v>
      </c>
      <c r="L457" s="1276">
        <v>6</v>
      </c>
      <c r="M457" s="1277" t="s">
        <v>4052</v>
      </c>
      <c r="N457" s="1277" t="s">
        <v>1342</v>
      </c>
      <c r="O457" s="1277" t="s">
        <v>1343</v>
      </c>
      <c r="P457" s="795" t="s">
        <v>3060</v>
      </c>
      <c r="Q457" s="752" t="s">
        <v>4020</v>
      </c>
      <c r="R457" s="796">
        <v>100</v>
      </c>
      <c r="S457" s="798"/>
    </row>
    <row r="458" spans="1:19" ht="45">
      <c r="A458" s="1289"/>
      <c r="B458" s="1276"/>
      <c r="C458" s="1276"/>
      <c r="D458" s="1278"/>
      <c r="E458" s="1278"/>
      <c r="F458" s="1276"/>
      <c r="G458" s="1278"/>
      <c r="H458" s="1282"/>
      <c r="I458" s="1283"/>
      <c r="J458" s="1297"/>
      <c r="K458" s="1276"/>
      <c r="L458" s="1276"/>
      <c r="M458" s="1278"/>
      <c r="N458" s="1278"/>
      <c r="O458" s="1278"/>
      <c r="P458" s="795" t="s">
        <v>3061</v>
      </c>
      <c r="Q458" s="752" t="s">
        <v>4020</v>
      </c>
      <c r="R458" s="796">
        <v>3500</v>
      </c>
      <c r="S458" s="798"/>
    </row>
    <row r="459" spans="1:19" ht="67.5">
      <c r="A459" s="1289"/>
      <c r="B459" s="1276"/>
      <c r="C459" s="1276"/>
      <c r="D459" s="1278"/>
      <c r="E459" s="1278"/>
      <c r="F459" s="1276"/>
      <c r="G459" s="1278"/>
      <c r="H459" s="1282"/>
      <c r="I459" s="1283"/>
      <c r="J459" s="1297"/>
      <c r="K459" s="1276"/>
      <c r="L459" s="1276"/>
      <c r="M459" s="1278"/>
      <c r="N459" s="1278"/>
      <c r="O459" s="1278"/>
      <c r="P459" s="795" t="s">
        <v>3062</v>
      </c>
      <c r="Q459" s="752" t="s">
        <v>4020</v>
      </c>
      <c r="R459" s="796">
        <v>15</v>
      </c>
      <c r="S459" s="797"/>
    </row>
    <row r="460" spans="1:19" ht="67.5">
      <c r="A460" s="1289"/>
      <c r="B460" s="1276"/>
      <c r="C460" s="1276"/>
      <c r="D460" s="1278"/>
      <c r="E460" s="1278"/>
      <c r="F460" s="1276"/>
      <c r="G460" s="1278"/>
      <c r="H460" s="1282"/>
      <c r="I460" s="1283"/>
      <c r="J460" s="1297"/>
      <c r="K460" s="1276"/>
      <c r="L460" s="1276"/>
      <c r="M460" s="1278"/>
      <c r="N460" s="1278"/>
      <c r="O460" s="1278"/>
      <c r="P460" s="795" t="s">
        <v>3063</v>
      </c>
      <c r="Q460" s="752" t="s">
        <v>4020</v>
      </c>
      <c r="R460" s="796">
        <v>36</v>
      </c>
      <c r="S460" s="797"/>
    </row>
    <row r="461" spans="1:19" ht="135">
      <c r="A461" s="1289"/>
      <c r="B461" s="1276"/>
      <c r="C461" s="1276"/>
      <c r="D461" s="1279"/>
      <c r="E461" s="1279"/>
      <c r="F461" s="1276"/>
      <c r="G461" s="1278"/>
      <c r="H461" s="1282"/>
      <c r="I461" s="1283"/>
      <c r="J461" s="1297"/>
      <c r="K461" s="1276"/>
      <c r="L461" s="1276"/>
      <c r="M461" s="1278"/>
      <c r="N461" s="1279"/>
      <c r="O461" s="1279"/>
      <c r="P461" s="795" t="s">
        <v>3065</v>
      </c>
      <c r="Q461" s="752" t="s">
        <v>4020</v>
      </c>
      <c r="R461" s="796">
        <v>40</v>
      </c>
      <c r="S461" s="798"/>
    </row>
    <row r="462" spans="1:19" ht="67.5">
      <c r="A462" s="1289">
        <v>15</v>
      </c>
      <c r="B462" s="1276">
        <v>742735</v>
      </c>
      <c r="C462" s="1276" t="s">
        <v>1341</v>
      </c>
      <c r="D462" s="1277" t="s">
        <v>1345</v>
      </c>
      <c r="E462" s="1277" t="s">
        <v>1345</v>
      </c>
      <c r="F462" s="1276">
        <v>4</v>
      </c>
      <c r="G462" s="1276">
        <v>2</v>
      </c>
      <c r="H462" s="1280" t="s">
        <v>4053</v>
      </c>
      <c r="I462" s="1281"/>
      <c r="J462" s="1287" t="s">
        <v>4054</v>
      </c>
      <c r="K462" s="1276">
        <v>0</v>
      </c>
      <c r="L462" s="1276">
        <v>5</v>
      </c>
      <c r="M462" s="1276" t="s">
        <v>4055</v>
      </c>
      <c r="N462" s="1276" t="s">
        <v>1345</v>
      </c>
      <c r="O462" s="1276" t="s">
        <v>1345</v>
      </c>
      <c r="P462" s="795" t="s">
        <v>3066</v>
      </c>
      <c r="Q462" s="752" t="s">
        <v>4020</v>
      </c>
      <c r="R462" s="796">
        <v>10</v>
      </c>
      <c r="S462" s="798"/>
    </row>
    <row r="463" spans="1:19" ht="67.5">
      <c r="A463" s="1289"/>
      <c r="B463" s="1276"/>
      <c r="C463" s="1276"/>
      <c r="D463" s="1278"/>
      <c r="E463" s="1278"/>
      <c r="F463" s="1276"/>
      <c r="G463" s="1276"/>
      <c r="H463" s="1282"/>
      <c r="I463" s="1283"/>
      <c r="J463" s="1287"/>
      <c r="K463" s="1276"/>
      <c r="L463" s="1276"/>
      <c r="M463" s="1276"/>
      <c r="N463" s="1276"/>
      <c r="O463" s="1276"/>
      <c r="P463" s="795" t="s">
        <v>3067</v>
      </c>
      <c r="Q463" s="752" t="s">
        <v>4020</v>
      </c>
      <c r="R463" s="796">
        <v>7000</v>
      </c>
      <c r="S463" s="798"/>
    </row>
    <row r="464" spans="1:19" ht="45">
      <c r="A464" s="1289"/>
      <c r="B464" s="1276"/>
      <c r="C464" s="1276"/>
      <c r="D464" s="1278"/>
      <c r="E464" s="1278"/>
      <c r="F464" s="1276"/>
      <c r="G464" s="1276"/>
      <c r="H464" s="1282"/>
      <c r="I464" s="1283"/>
      <c r="J464" s="1287"/>
      <c r="K464" s="1276"/>
      <c r="L464" s="1276"/>
      <c r="M464" s="1276"/>
      <c r="N464" s="1276"/>
      <c r="O464" s="1276"/>
      <c r="P464" s="795" t="s">
        <v>1346</v>
      </c>
      <c r="Q464" s="752" t="s">
        <v>4020</v>
      </c>
      <c r="R464" s="796">
        <v>100</v>
      </c>
      <c r="S464" s="798"/>
    </row>
    <row r="465" spans="1:19" ht="135">
      <c r="A465" s="1289"/>
      <c r="B465" s="1276"/>
      <c r="C465" s="1276"/>
      <c r="D465" s="1279"/>
      <c r="E465" s="1279"/>
      <c r="F465" s="1276"/>
      <c r="G465" s="1276"/>
      <c r="H465" s="1284"/>
      <c r="I465" s="1285"/>
      <c r="J465" s="1287"/>
      <c r="K465" s="1276"/>
      <c r="L465" s="1276"/>
      <c r="M465" s="1276"/>
      <c r="N465" s="1276"/>
      <c r="O465" s="1276"/>
      <c r="P465" s="795" t="s">
        <v>3700</v>
      </c>
      <c r="Q465" s="752" t="s">
        <v>4020</v>
      </c>
      <c r="R465" s="796">
        <v>200</v>
      </c>
      <c r="S465" s="797"/>
    </row>
    <row r="466" spans="1:19" ht="67.5">
      <c r="A466" s="1289">
        <v>16</v>
      </c>
      <c r="B466" s="1276">
        <v>739026</v>
      </c>
      <c r="C466" s="1276" t="s">
        <v>1334</v>
      </c>
      <c r="D466" s="1277" t="s">
        <v>1347</v>
      </c>
      <c r="E466" s="1277" t="s">
        <v>3068</v>
      </c>
      <c r="F466" s="1276">
        <v>5</v>
      </c>
      <c r="G466" s="1276">
        <v>2</v>
      </c>
      <c r="H466" s="1280" t="s">
        <v>3770</v>
      </c>
      <c r="I466" s="1281"/>
      <c r="J466" s="1287" t="s">
        <v>4056</v>
      </c>
      <c r="K466" s="1276">
        <v>0</v>
      </c>
      <c r="L466" s="1276">
        <v>6</v>
      </c>
      <c r="M466" s="1288" t="s">
        <v>4057</v>
      </c>
      <c r="N466" s="1276" t="s">
        <v>1347</v>
      </c>
      <c r="O466" s="1276" t="s">
        <v>3068</v>
      </c>
      <c r="P466" s="795" t="s">
        <v>3069</v>
      </c>
      <c r="Q466" s="752" t="s">
        <v>4020</v>
      </c>
      <c r="R466" s="796">
        <v>100</v>
      </c>
      <c r="S466" s="798"/>
    </row>
    <row r="467" spans="1:19" ht="67.5">
      <c r="A467" s="1289"/>
      <c r="B467" s="1276"/>
      <c r="C467" s="1276"/>
      <c r="D467" s="1278"/>
      <c r="E467" s="1278"/>
      <c r="F467" s="1276"/>
      <c r="G467" s="1276"/>
      <c r="H467" s="1282"/>
      <c r="I467" s="1283"/>
      <c r="J467" s="1287"/>
      <c r="K467" s="1276"/>
      <c r="L467" s="1276"/>
      <c r="M467" s="1288"/>
      <c r="N467" s="1276"/>
      <c r="O467" s="1276"/>
      <c r="P467" s="795" t="s">
        <v>3057</v>
      </c>
      <c r="Q467" s="752" t="s">
        <v>4020</v>
      </c>
      <c r="R467" s="796">
        <v>7000</v>
      </c>
      <c r="S467" s="798"/>
    </row>
    <row r="468" spans="1:19" ht="90">
      <c r="A468" s="1289"/>
      <c r="B468" s="1276"/>
      <c r="C468" s="1276"/>
      <c r="D468" s="1278"/>
      <c r="E468" s="1278"/>
      <c r="F468" s="1276"/>
      <c r="G468" s="1276"/>
      <c r="H468" s="1282"/>
      <c r="I468" s="1283"/>
      <c r="J468" s="1287"/>
      <c r="K468" s="1276"/>
      <c r="L468" s="1276"/>
      <c r="M468" s="1288"/>
      <c r="N468" s="1276"/>
      <c r="O468" s="1276"/>
      <c r="P468" s="795" t="s">
        <v>3070</v>
      </c>
      <c r="Q468" s="752" t="s">
        <v>4020</v>
      </c>
      <c r="R468" s="796">
        <v>500</v>
      </c>
      <c r="S468" s="797"/>
    </row>
    <row r="469" spans="1:19" ht="45">
      <c r="A469" s="1289"/>
      <c r="B469" s="1276"/>
      <c r="C469" s="1276"/>
      <c r="D469" s="1279"/>
      <c r="E469" s="1279"/>
      <c r="F469" s="1276"/>
      <c r="G469" s="1276"/>
      <c r="H469" s="1284"/>
      <c r="I469" s="1285"/>
      <c r="J469" s="1287"/>
      <c r="K469" s="1276"/>
      <c r="L469" s="1276"/>
      <c r="M469" s="1288"/>
      <c r="N469" s="1276"/>
      <c r="O469" s="1276"/>
      <c r="P469" s="795" t="s">
        <v>3678</v>
      </c>
      <c r="Q469" s="752" t="s">
        <v>4020</v>
      </c>
      <c r="R469" s="796">
        <v>10</v>
      </c>
      <c r="S469" s="797"/>
    </row>
    <row r="470" spans="1:19" ht="45">
      <c r="A470" s="1289">
        <v>17</v>
      </c>
      <c r="B470" s="1276">
        <v>739026</v>
      </c>
      <c r="C470" s="1276" t="s">
        <v>1337</v>
      </c>
      <c r="D470" s="1277" t="s">
        <v>1348</v>
      </c>
      <c r="E470" s="1277" t="s">
        <v>1348</v>
      </c>
      <c r="F470" s="1276">
        <v>5</v>
      </c>
      <c r="G470" s="1276">
        <v>2</v>
      </c>
      <c r="H470" s="1280" t="s">
        <v>3708</v>
      </c>
      <c r="I470" s="1281"/>
      <c r="J470" s="1287" t="s">
        <v>3709</v>
      </c>
      <c r="K470" s="1276">
        <v>1</v>
      </c>
      <c r="L470" s="1276">
        <v>8</v>
      </c>
      <c r="M470" s="1288" t="s">
        <v>4058</v>
      </c>
      <c r="N470" s="1276" t="s">
        <v>1348</v>
      </c>
      <c r="O470" s="1276" t="s">
        <v>1348</v>
      </c>
      <c r="P470" s="795" t="s">
        <v>1349</v>
      </c>
      <c r="Q470" s="752" t="s">
        <v>4020</v>
      </c>
      <c r="R470" s="796">
        <v>500</v>
      </c>
      <c r="S470" s="797"/>
    </row>
    <row r="471" spans="1:19" ht="22.5">
      <c r="A471" s="1289"/>
      <c r="B471" s="1276"/>
      <c r="C471" s="1276"/>
      <c r="D471" s="1278"/>
      <c r="E471" s="1278"/>
      <c r="F471" s="1276"/>
      <c r="G471" s="1276"/>
      <c r="H471" s="1282"/>
      <c r="I471" s="1283"/>
      <c r="J471" s="1287"/>
      <c r="K471" s="1276"/>
      <c r="L471" s="1276"/>
      <c r="M471" s="1288"/>
      <c r="N471" s="1276"/>
      <c r="O471" s="1276"/>
      <c r="P471" s="795" t="s">
        <v>3022</v>
      </c>
      <c r="Q471" s="752" t="s">
        <v>4020</v>
      </c>
      <c r="R471" s="796">
        <v>50</v>
      </c>
      <c r="S471" s="797"/>
    </row>
    <row r="472" spans="1:19" ht="90">
      <c r="A472" s="1289"/>
      <c r="B472" s="1276"/>
      <c r="C472" s="1276"/>
      <c r="D472" s="1278"/>
      <c r="E472" s="1278"/>
      <c r="F472" s="1276"/>
      <c r="G472" s="1276"/>
      <c r="H472" s="1282"/>
      <c r="I472" s="1283"/>
      <c r="J472" s="1287"/>
      <c r="K472" s="1276"/>
      <c r="L472" s="1276"/>
      <c r="M472" s="1288"/>
      <c r="N472" s="1276"/>
      <c r="O472" s="1276"/>
      <c r="P472" s="795" t="s">
        <v>3071</v>
      </c>
      <c r="Q472" s="752" t="s">
        <v>4020</v>
      </c>
      <c r="R472" s="796">
        <v>100</v>
      </c>
      <c r="S472" s="797"/>
    </row>
    <row r="473" spans="1:19" ht="67.5">
      <c r="A473" s="1289"/>
      <c r="B473" s="1276"/>
      <c r="C473" s="1276"/>
      <c r="D473" s="1278"/>
      <c r="E473" s="1278"/>
      <c r="F473" s="1276"/>
      <c r="G473" s="1276"/>
      <c r="H473" s="1282"/>
      <c r="I473" s="1283"/>
      <c r="J473" s="1287"/>
      <c r="K473" s="1276"/>
      <c r="L473" s="1276"/>
      <c r="M473" s="1288"/>
      <c r="N473" s="1276"/>
      <c r="O473" s="1276"/>
      <c r="P473" s="795" t="s">
        <v>3072</v>
      </c>
      <c r="Q473" s="752" t="s">
        <v>4020</v>
      </c>
      <c r="R473" s="796">
        <v>10</v>
      </c>
      <c r="S473" s="798"/>
    </row>
    <row r="474" spans="1:19" ht="67.5">
      <c r="A474" s="1289"/>
      <c r="B474" s="1276"/>
      <c r="C474" s="1276"/>
      <c r="D474" s="1278"/>
      <c r="E474" s="1278"/>
      <c r="F474" s="1276"/>
      <c r="G474" s="1276"/>
      <c r="H474" s="1282"/>
      <c r="I474" s="1283"/>
      <c r="J474" s="1287"/>
      <c r="K474" s="1276"/>
      <c r="L474" s="1276"/>
      <c r="M474" s="1288"/>
      <c r="N474" s="1276"/>
      <c r="O474" s="1276"/>
      <c r="P474" s="795" t="s">
        <v>3073</v>
      </c>
      <c r="Q474" s="752" t="s">
        <v>4020</v>
      </c>
      <c r="R474" s="796">
        <v>15</v>
      </c>
      <c r="S474" s="798"/>
    </row>
    <row r="475" spans="1:19" ht="45">
      <c r="A475" s="1289"/>
      <c r="B475" s="1276"/>
      <c r="C475" s="1276"/>
      <c r="D475" s="1278"/>
      <c r="E475" s="1278"/>
      <c r="F475" s="1276"/>
      <c r="G475" s="1276"/>
      <c r="H475" s="1282"/>
      <c r="I475" s="1283"/>
      <c r="J475" s="1287"/>
      <c r="K475" s="1276"/>
      <c r="L475" s="1276"/>
      <c r="M475" s="1288"/>
      <c r="N475" s="1276"/>
      <c r="O475" s="1276"/>
      <c r="P475" s="795" t="s">
        <v>3074</v>
      </c>
      <c r="Q475" s="752" t="s">
        <v>4020</v>
      </c>
      <c r="R475" s="796">
        <v>36</v>
      </c>
      <c r="S475" s="797"/>
    </row>
    <row r="476" spans="1:19" ht="67.5">
      <c r="A476" s="1289"/>
      <c r="B476" s="1276"/>
      <c r="C476" s="1276"/>
      <c r="D476" s="1279"/>
      <c r="E476" s="1279"/>
      <c r="F476" s="1276"/>
      <c r="G476" s="1276"/>
      <c r="H476" s="1284"/>
      <c r="I476" s="1285"/>
      <c r="J476" s="1287"/>
      <c r="K476" s="1276"/>
      <c r="L476" s="1276"/>
      <c r="M476" s="1288"/>
      <c r="N476" s="1276"/>
      <c r="O476" s="1276"/>
      <c r="P476" s="795" t="s">
        <v>3075</v>
      </c>
      <c r="Q476" s="752" t="s">
        <v>4020</v>
      </c>
      <c r="R476" s="796">
        <v>14</v>
      </c>
      <c r="S476" s="798"/>
    </row>
    <row r="477" spans="1:19" ht="45">
      <c r="A477" s="1289">
        <v>18</v>
      </c>
      <c r="B477" s="1276">
        <v>739026</v>
      </c>
      <c r="C477" s="1276" t="s">
        <v>1334</v>
      </c>
      <c r="D477" s="1277" t="s">
        <v>1350</v>
      </c>
      <c r="E477" s="1277" t="s">
        <v>1350</v>
      </c>
      <c r="F477" s="1276">
        <v>6</v>
      </c>
      <c r="G477" s="1276">
        <v>2</v>
      </c>
      <c r="H477" s="1280" t="s">
        <v>3711</v>
      </c>
      <c r="I477" s="1281"/>
      <c r="J477" s="1287" t="s">
        <v>4059</v>
      </c>
      <c r="K477" s="1276">
        <v>0</v>
      </c>
      <c r="L477" s="1276">
        <v>9</v>
      </c>
      <c r="M477" s="1288" t="s">
        <v>4060</v>
      </c>
      <c r="N477" s="1276" t="s">
        <v>1350</v>
      </c>
      <c r="O477" s="1276" t="s">
        <v>1350</v>
      </c>
      <c r="P477" s="795" t="s">
        <v>1351</v>
      </c>
      <c r="Q477" s="752" t="s">
        <v>4020</v>
      </c>
      <c r="R477" s="796">
        <v>500</v>
      </c>
      <c r="S477" s="798"/>
    </row>
    <row r="478" spans="1:19" ht="22.5">
      <c r="A478" s="1289"/>
      <c r="B478" s="1276"/>
      <c r="C478" s="1276"/>
      <c r="D478" s="1278"/>
      <c r="E478" s="1278"/>
      <c r="F478" s="1276"/>
      <c r="G478" s="1276"/>
      <c r="H478" s="1282"/>
      <c r="I478" s="1283"/>
      <c r="J478" s="1287"/>
      <c r="K478" s="1276"/>
      <c r="L478" s="1276"/>
      <c r="M478" s="1288"/>
      <c r="N478" s="1276"/>
      <c r="O478" s="1276"/>
      <c r="P478" s="795" t="s">
        <v>3022</v>
      </c>
      <c r="Q478" s="752" t="s">
        <v>4020</v>
      </c>
      <c r="R478" s="796">
        <v>50</v>
      </c>
      <c r="S478" s="798"/>
    </row>
    <row r="479" spans="1:19" ht="67.5">
      <c r="A479" s="1289"/>
      <c r="B479" s="1276"/>
      <c r="C479" s="1276"/>
      <c r="D479" s="1279"/>
      <c r="E479" s="1279"/>
      <c r="F479" s="1276"/>
      <c r="G479" s="1276"/>
      <c r="H479" s="1284"/>
      <c r="I479" s="1285"/>
      <c r="J479" s="1287"/>
      <c r="K479" s="1276"/>
      <c r="L479" s="1276"/>
      <c r="M479" s="1288"/>
      <c r="N479" s="1276"/>
      <c r="O479" s="1276"/>
      <c r="P479" s="795" t="s">
        <v>3076</v>
      </c>
      <c r="Q479" s="752" t="s">
        <v>4020</v>
      </c>
      <c r="R479" s="796">
        <v>100</v>
      </c>
      <c r="S479" s="797"/>
    </row>
    <row r="480" spans="1:19" ht="90">
      <c r="A480" s="1289">
        <v>19</v>
      </c>
      <c r="B480" s="1277">
        <v>738873</v>
      </c>
      <c r="C480" s="1276" t="s">
        <v>1352</v>
      </c>
      <c r="D480" s="1277" t="s">
        <v>1353</v>
      </c>
      <c r="E480" s="1277" t="s">
        <v>1354</v>
      </c>
      <c r="F480" s="1276">
        <v>6</v>
      </c>
      <c r="G480" s="1276">
        <v>3</v>
      </c>
      <c r="H480" s="1280" t="s">
        <v>3714</v>
      </c>
      <c r="I480" s="1281"/>
      <c r="J480" s="1287" t="s">
        <v>4061</v>
      </c>
      <c r="K480" s="1276">
        <v>0</v>
      </c>
      <c r="L480" s="1276">
        <v>7</v>
      </c>
      <c r="M480" s="1276" t="s">
        <v>4062</v>
      </c>
      <c r="N480" s="1276" t="s">
        <v>1353</v>
      </c>
      <c r="O480" s="1276" t="s">
        <v>1354</v>
      </c>
      <c r="P480" s="795" t="s">
        <v>3077</v>
      </c>
      <c r="Q480" s="752" t="s">
        <v>4020</v>
      </c>
      <c r="R480" s="796">
        <v>25</v>
      </c>
      <c r="S480" s="798"/>
    </row>
    <row r="481" spans="1:19" ht="67.5">
      <c r="A481" s="1289"/>
      <c r="B481" s="1278"/>
      <c r="C481" s="1276"/>
      <c r="D481" s="1278"/>
      <c r="E481" s="1278"/>
      <c r="F481" s="1276"/>
      <c r="G481" s="1276"/>
      <c r="H481" s="1282"/>
      <c r="I481" s="1283"/>
      <c r="J481" s="1287"/>
      <c r="K481" s="1276"/>
      <c r="L481" s="1276"/>
      <c r="M481" s="1276"/>
      <c r="N481" s="1276"/>
      <c r="O481" s="1276"/>
      <c r="P481" s="795" t="s">
        <v>3078</v>
      </c>
      <c r="Q481" s="752" t="s">
        <v>4020</v>
      </c>
      <c r="R481" s="796">
        <v>200</v>
      </c>
      <c r="S481" s="798"/>
    </row>
    <row r="482" spans="1:19" ht="22.5">
      <c r="A482" s="1289"/>
      <c r="B482" s="1278"/>
      <c r="C482" s="1276"/>
      <c r="D482" s="1278"/>
      <c r="E482" s="1278"/>
      <c r="F482" s="1276"/>
      <c r="G482" s="1276"/>
      <c r="H482" s="1282"/>
      <c r="I482" s="1283"/>
      <c r="J482" s="1287"/>
      <c r="K482" s="1276"/>
      <c r="L482" s="1276"/>
      <c r="M482" s="1276"/>
      <c r="N482" s="1276"/>
      <c r="O482" s="1276"/>
      <c r="P482" s="795" t="s">
        <v>3079</v>
      </c>
      <c r="Q482" s="752" t="s">
        <v>4020</v>
      </c>
      <c r="R482" s="796">
        <v>36</v>
      </c>
      <c r="S482" s="798"/>
    </row>
    <row r="483" spans="1:19" ht="45">
      <c r="A483" s="1289"/>
      <c r="B483" s="1278"/>
      <c r="C483" s="1276"/>
      <c r="D483" s="1278"/>
      <c r="E483" s="1278"/>
      <c r="F483" s="1276"/>
      <c r="G483" s="1276"/>
      <c r="H483" s="1282"/>
      <c r="I483" s="1283"/>
      <c r="J483" s="1287"/>
      <c r="K483" s="1276"/>
      <c r="L483" s="1276"/>
      <c r="M483" s="1276"/>
      <c r="N483" s="1276"/>
      <c r="O483" s="1276"/>
      <c r="P483" s="795" t="s">
        <v>3080</v>
      </c>
      <c r="Q483" s="752" t="s">
        <v>4020</v>
      </c>
      <c r="R483" s="796">
        <v>36</v>
      </c>
      <c r="S483" s="798"/>
    </row>
    <row r="484" spans="1:19" ht="45">
      <c r="A484" s="1289"/>
      <c r="B484" s="1278"/>
      <c r="C484" s="1276"/>
      <c r="D484" s="1278"/>
      <c r="E484" s="1278"/>
      <c r="F484" s="1276"/>
      <c r="G484" s="1276"/>
      <c r="H484" s="1282"/>
      <c r="I484" s="1283"/>
      <c r="J484" s="1287"/>
      <c r="K484" s="1276"/>
      <c r="L484" s="1276"/>
      <c r="M484" s="1276"/>
      <c r="N484" s="1276"/>
      <c r="O484" s="1276"/>
      <c r="P484" s="795" t="s">
        <v>4063</v>
      </c>
      <c r="Q484" s="752" t="s">
        <v>4020</v>
      </c>
      <c r="R484" s="796">
        <v>10</v>
      </c>
      <c r="S484" s="798"/>
    </row>
    <row r="485" spans="1:19" ht="67.5">
      <c r="A485" s="1289">
        <v>20</v>
      </c>
      <c r="B485" s="1277">
        <v>738873</v>
      </c>
      <c r="C485" s="1276" t="s">
        <v>1355</v>
      </c>
      <c r="D485" s="1277" t="s">
        <v>1356</v>
      </c>
      <c r="E485" s="1277" t="s">
        <v>1356</v>
      </c>
      <c r="F485" s="1276">
        <v>7</v>
      </c>
      <c r="G485" s="1276">
        <v>4</v>
      </c>
      <c r="H485" s="1280" t="s">
        <v>3717</v>
      </c>
      <c r="I485" s="1281"/>
      <c r="J485" s="1287" t="s">
        <v>4064</v>
      </c>
      <c r="K485" s="1276">
        <v>0</v>
      </c>
      <c r="L485" s="1276">
        <v>7</v>
      </c>
      <c r="M485" s="1276" t="s">
        <v>4065</v>
      </c>
      <c r="N485" s="1276" t="s">
        <v>1356</v>
      </c>
      <c r="O485" s="1276" t="s">
        <v>1356</v>
      </c>
      <c r="P485" s="795" t="s">
        <v>3082</v>
      </c>
      <c r="Q485" s="752" t="s">
        <v>4020</v>
      </c>
      <c r="R485" s="796">
        <v>4</v>
      </c>
      <c r="S485" s="798"/>
    </row>
    <row r="486" spans="1:19" ht="112.5">
      <c r="A486" s="1289"/>
      <c r="B486" s="1278"/>
      <c r="C486" s="1276"/>
      <c r="D486" s="1278"/>
      <c r="E486" s="1278"/>
      <c r="F486" s="1276"/>
      <c r="G486" s="1276"/>
      <c r="H486" s="1282"/>
      <c r="I486" s="1283"/>
      <c r="J486" s="1287"/>
      <c r="K486" s="1276"/>
      <c r="L486" s="1276"/>
      <c r="M486" s="1276"/>
      <c r="N486" s="1276"/>
      <c r="O486" s="1276"/>
      <c r="P486" s="795" t="s">
        <v>3083</v>
      </c>
      <c r="Q486" s="752" t="s">
        <v>4020</v>
      </c>
      <c r="R486" s="796">
        <v>200</v>
      </c>
      <c r="S486" s="798"/>
    </row>
    <row r="487" spans="1:19" ht="90">
      <c r="A487" s="1289"/>
      <c r="B487" s="1278"/>
      <c r="C487" s="1276"/>
      <c r="D487" s="1278"/>
      <c r="E487" s="1278"/>
      <c r="F487" s="1276"/>
      <c r="G487" s="1276"/>
      <c r="H487" s="1282"/>
      <c r="I487" s="1283"/>
      <c r="J487" s="1287"/>
      <c r="K487" s="1276"/>
      <c r="L487" s="1276"/>
      <c r="M487" s="1276"/>
      <c r="N487" s="1276"/>
      <c r="O487" s="1276"/>
      <c r="P487" s="795" t="s">
        <v>1357</v>
      </c>
      <c r="Q487" s="752" t="s">
        <v>4020</v>
      </c>
      <c r="R487" s="796">
        <v>500</v>
      </c>
      <c r="S487" s="798"/>
    </row>
    <row r="488" spans="1:19" ht="45">
      <c r="A488" s="1289"/>
      <c r="B488" s="1278"/>
      <c r="C488" s="1276"/>
      <c r="D488" s="1278"/>
      <c r="E488" s="1278"/>
      <c r="F488" s="1276"/>
      <c r="G488" s="1276"/>
      <c r="H488" s="1282"/>
      <c r="I488" s="1283"/>
      <c r="J488" s="1287"/>
      <c r="K488" s="1276"/>
      <c r="L488" s="1276"/>
      <c r="M488" s="1276"/>
      <c r="N488" s="1276"/>
      <c r="O488" s="1276"/>
      <c r="P488" s="795" t="s">
        <v>3084</v>
      </c>
      <c r="Q488" s="752" t="s">
        <v>4020</v>
      </c>
      <c r="R488" s="796">
        <v>100</v>
      </c>
      <c r="S488" s="798"/>
    </row>
    <row r="489" spans="1:19" ht="112.5">
      <c r="A489" s="1289"/>
      <c r="B489" s="1278"/>
      <c r="C489" s="1276"/>
      <c r="D489" s="1278"/>
      <c r="E489" s="1278"/>
      <c r="F489" s="1276"/>
      <c r="G489" s="1276"/>
      <c r="H489" s="1282"/>
      <c r="I489" s="1283"/>
      <c r="J489" s="1287"/>
      <c r="K489" s="1276"/>
      <c r="L489" s="1276"/>
      <c r="M489" s="1276"/>
      <c r="N489" s="1276"/>
      <c r="O489" s="1276"/>
      <c r="P489" s="795" t="s">
        <v>3085</v>
      </c>
      <c r="Q489" s="752" t="s">
        <v>4020</v>
      </c>
      <c r="R489" s="796">
        <v>25</v>
      </c>
      <c r="S489" s="798"/>
    </row>
    <row r="490" spans="1:19" ht="45">
      <c r="A490" s="1289"/>
      <c r="B490" s="1278"/>
      <c r="C490" s="1276"/>
      <c r="D490" s="1278"/>
      <c r="E490" s="1278"/>
      <c r="F490" s="1276"/>
      <c r="G490" s="1276"/>
      <c r="H490" s="1282"/>
      <c r="I490" s="1283"/>
      <c r="J490" s="1287"/>
      <c r="K490" s="1276"/>
      <c r="L490" s="1276"/>
      <c r="M490" s="1276"/>
      <c r="N490" s="1276"/>
      <c r="O490" s="1276"/>
      <c r="P490" s="795" t="s">
        <v>3086</v>
      </c>
      <c r="Q490" s="752" t="s">
        <v>4020</v>
      </c>
      <c r="R490" s="796">
        <v>36</v>
      </c>
      <c r="S490" s="798"/>
    </row>
    <row r="491" spans="1:19" ht="45">
      <c r="A491" s="1289"/>
      <c r="B491" s="1278"/>
      <c r="C491" s="1276"/>
      <c r="D491" s="1278"/>
      <c r="E491" s="1278"/>
      <c r="F491" s="1276"/>
      <c r="G491" s="1276"/>
      <c r="H491" s="1282"/>
      <c r="I491" s="1283"/>
      <c r="J491" s="1287"/>
      <c r="K491" s="1276"/>
      <c r="L491" s="1276"/>
      <c r="M491" s="1276"/>
      <c r="N491" s="1276"/>
      <c r="O491" s="1276"/>
      <c r="P491" s="795" t="s">
        <v>3087</v>
      </c>
      <c r="Q491" s="752" t="s">
        <v>4020</v>
      </c>
      <c r="R491" s="796">
        <v>14</v>
      </c>
      <c r="S491" s="798"/>
    </row>
    <row r="492" spans="1:19" ht="22.5">
      <c r="A492" s="1289"/>
      <c r="B492" s="1279"/>
      <c r="C492" s="1276"/>
      <c r="D492" s="1279"/>
      <c r="E492" s="1279"/>
      <c r="F492" s="1276"/>
      <c r="G492" s="1276"/>
      <c r="H492" s="1284"/>
      <c r="I492" s="1285"/>
      <c r="J492" s="1287"/>
      <c r="K492" s="1276"/>
      <c r="L492" s="1276"/>
      <c r="M492" s="1276"/>
      <c r="N492" s="1276"/>
      <c r="O492" s="1276"/>
      <c r="P492" s="833" t="s">
        <v>3088</v>
      </c>
      <c r="Q492" s="752" t="s">
        <v>4020</v>
      </c>
      <c r="R492" s="796">
        <v>36</v>
      </c>
      <c r="S492" s="798"/>
    </row>
    <row r="493" spans="1:19" ht="22.5">
      <c r="A493" s="1289">
        <v>21</v>
      </c>
      <c r="B493" s="1276">
        <v>738873</v>
      </c>
      <c r="C493" s="1276" t="s">
        <v>1355</v>
      </c>
      <c r="D493" s="1277" t="s">
        <v>1358</v>
      </c>
      <c r="E493" s="1277" t="s">
        <v>1358</v>
      </c>
      <c r="F493" s="1276">
        <v>9</v>
      </c>
      <c r="G493" s="1276">
        <v>3</v>
      </c>
      <c r="H493" s="1280" t="s">
        <v>3720</v>
      </c>
      <c r="I493" s="1281"/>
      <c r="J493" s="1287" t="s">
        <v>4066</v>
      </c>
      <c r="K493" s="1276">
        <v>0</v>
      </c>
      <c r="L493" s="1276">
        <v>12</v>
      </c>
      <c r="M493" s="1288" t="s">
        <v>4067</v>
      </c>
      <c r="N493" s="1276" t="s">
        <v>1358</v>
      </c>
      <c r="O493" s="1276" t="s">
        <v>1358</v>
      </c>
      <c r="P493" s="795" t="s">
        <v>1359</v>
      </c>
      <c r="Q493" s="752" t="s">
        <v>4020</v>
      </c>
      <c r="R493" s="796">
        <v>1200</v>
      </c>
      <c r="S493" s="797"/>
    </row>
    <row r="494" spans="1:19" ht="90">
      <c r="A494" s="1289"/>
      <c r="B494" s="1276"/>
      <c r="C494" s="1276"/>
      <c r="D494" s="1278"/>
      <c r="E494" s="1278"/>
      <c r="F494" s="1276"/>
      <c r="G494" s="1276"/>
      <c r="H494" s="1282"/>
      <c r="I494" s="1283"/>
      <c r="J494" s="1287"/>
      <c r="K494" s="1276"/>
      <c r="L494" s="1276"/>
      <c r="M494" s="1288"/>
      <c r="N494" s="1276"/>
      <c r="O494" s="1276"/>
      <c r="P494" s="795" t="s">
        <v>3089</v>
      </c>
      <c r="Q494" s="752" t="s">
        <v>4020</v>
      </c>
      <c r="R494" s="796">
        <v>7000</v>
      </c>
      <c r="S494" s="797"/>
    </row>
    <row r="495" spans="1:19" ht="112.5">
      <c r="A495" s="1289"/>
      <c r="B495" s="1276"/>
      <c r="C495" s="1276"/>
      <c r="D495" s="1278"/>
      <c r="E495" s="1278"/>
      <c r="F495" s="1276"/>
      <c r="G495" s="1276"/>
      <c r="H495" s="1282"/>
      <c r="I495" s="1283"/>
      <c r="J495" s="1287"/>
      <c r="K495" s="1276"/>
      <c r="L495" s="1276"/>
      <c r="M495" s="1288"/>
      <c r="N495" s="1276"/>
      <c r="O495" s="1276"/>
      <c r="P495" s="795" t="s">
        <v>1360</v>
      </c>
      <c r="Q495" s="752" t="s">
        <v>4020</v>
      </c>
      <c r="R495" s="796">
        <v>200</v>
      </c>
      <c r="S495" s="798"/>
    </row>
    <row r="496" spans="1:19" ht="45">
      <c r="A496" s="1289"/>
      <c r="B496" s="1276"/>
      <c r="C496" s="1276"/>
      <c r="D496" s="1278"/>
      <c r="E496" s="1278"/>
      <c r="F496" s="1276"/>
      <c r="G496" s="1276"/>
      <c r="H496" s="1282"/>
      <c r="I496" s="1283"/>
      <c r="J496" s="1287"/>
      <c r="K496" s="1276"/>
      <c r="L496" s="1276"/>
      <c r="M496" s="1288"/>
      <c r="N496" s="1276"/>
      <c r="O496" s="1276"/>
      <c r="P496" s="795" t="s">
        <v>3031</v>
      </c>
      <c r="Q496" s="752" t="s">
        <v>4020</v>
      </c>
      <c r="R496" s="796">
        <v>36</v>
      </c>
      <c r="S496" s="798"/>
    </row>
    <row r="497" spans="1:19" ht="67.5">
      <c r="A497" s="1289"/>
      <c r="B497" s="1276"/>
      <c r="C497" s="1276"/>
      <c r="D497" s="1278"/>
      <c r="E497" s="1278"/>
      <c r="F497" s="1276"/>
      <c r="G497" s="1276"/>
      <c r="H497" s="1282"/>
      <c r="I497" s="1283"/>
      <c r="J497" s="1287"/>
      <c r="K497" s="1276"/>
      <c r="L497" s="1276"/>
      <c r="M497" s="1288"/>
      <c r="N497" s="1276"/>
      <c r="O497" s="1276"/>
      <c r="P497" s="795" t="s">
        <v>3090</v>
      </c>
      <c r="Q497" s="752" t="s">
        <v>4020</v>
      </c>
      <c r="R497" s="796">
        <v>10</v>
      </c>
      <c r="S497" s="834"/>
    </row>
    <row r="498" spans="1:19" ht="45">
      <c r="A498" s="1289"/>
      <c r="B498" s="1276"/>
      <c r="C498" s="1276"/>
      <c r="D498" s="1278"/>
      <c r="E498" s="1278"/>
      <c r="F498" s="1276"/>
      <c r="G498" s="1276"/>
      <c r="H498" s="1282"/>
      <c r="I498" s="1283"/>
      <c r="J498" s="1287"/>
      <c r="K498" s="1276"/>
      <c r="L498" s="1276"/>
      <c r="M498" s="1288"/>
      <c r="N498" s="1276"/>
      <c r="O498" s="1276"/>
      <c r="P498" s="795" t="s">
        <v>3091</v>
      </c>
      <c r="Q498" s="752" t="s">
        <v>4020</v>
      </c>
      <c r="R498" s="796">
        <v>14</v>
      </c>
      <c r="S498" s="835"/>
    </row>
    <row r="499" spans="1:19" ht="22.5">
      <c r="A499" s="1289"/>
      <c r="B499" s="1276"/>
      <c r="C499" s="1276"/>
      <c r="D499" s="1279"/>
      <c r="E499" s="1279"/>
      <c r="F499" s="1276"/>
      <c r="G499" s="1276"/>
      <c r="H499" s="1284"/>
      <c r="I499" s="1285"/>
      <c r="J499" s="1287"/>
      <c r="K499" s="1276"/>
      <c r="L499" s="1276"/>
      <c r="M499" s="1288"/>
      <c r="N499" s="1276"/>
      <c r="O499" s="1276"/>
      <c r="P499" s="795" t="s">
        <v>3092</v>
      </c>
      <c r="Q499" s="752" t="s">
        <v>4020</v>
      </c>
      <c r="R499" s="796">
        <v>100</v>
      </c>
      <c r="S499" s="835"/>
    </row>
    <row r="500" spans="1:19" ht="90">
      <c r="A500" s="1289">
        <v>22</v>
      </c>
      <c r="B500" s="1276">
        <v>738873</v>
      </c>
      <c r="C500" s="1276" t="s">
        <v>1352</v>
      </c>
      <c r="D500" s="1290" t="s">
        <v>1361</v>
      </c>
      <c r="E500" s="1290" t="s">
        <v>3093</v>
      </c>
      <c r="F500" s="1276">
        <v>5</v>
      </c>
      <c r="G500" s="1276">
        <v>2</v>
      </c>
      <c r="H500" s="1280" t="s">
        <v>4068</v>
      </c>
      <c r="I500" s="1281"/>
      <c r="J500" s="1287" t="s">
        <v>4069</v>
      </c>
      <c r="K500" s="1276">
        <v>0</v>
      </c>
      <c r="L500" s="1276">
        <v>6</v>
      </c>
      <c r="M500" s="1288" t="s">
        <v>4070</v>
      </c>
      <c r="N500" s="1275" t="s">
        <v>1361</v>
      </c>
      <c r="O500" s="1275" t="s">
        <v>3093</v>
      </c>
      <c r="P500" s="795" t="s">
        <v>3094</v>
      </c>
      <c r="Q500" s="752" t="s">
        <v>4020</v>
      </c>
      <c r="R500" s="796">
        <v>3500</v>
      </c>
      <c r="S500" s="835"/>
    </row>
    <row r="501" spans="1:19" ht="22.5">
      <c r="A501" s="1289"/>
      <c r="B501" s="1276"/>
      <c r="C501" s="1276"/>
      <c r="D501" s="1291"/>
      <c r="E501" s="1291"/>
      <c r="F501" s="1276"/>
      <c r="G501" s="1276"/>
      <c r="H501" s="1282"/>
      <c r="I501" s="1283"/>
      <c r="J501" s="1287"/>
      <c r="K501" s="1276"/>
      <c r="L501" s="1276"/>
      <c r="M501" s="1288"/>
      <c r="N501" s="1275"/>
      <c r="O501" s="1275"/>
      <c r="P501" s="795" t="s">
        <v>3095</v>
      </c>
      <c r="Q501" s="752" t="s">
        <v>4020</v>
      </c>
      <c r="R501" s="796">
        <v>100</v>
      </c>
      <c r="S501" s="834"/>
    </row>
    <row r="502" spans="1:19" ht="22.5">
      <c r="A502" s="1289"/>
      <c r="B502" s="1276"/>
      <c r="C502" s="1276"/>
      <c r="D502" s="1292"/>
      <c r="E502" s="1292"/>
      <c r="F502" s="1276"/>
      <c r="G502" s="1276"/>
      <c r="H502" s="1284"/>
      <c r="I502" s="1285"/>
      <c r="J502" s="1287"/>
      <c r="K502" s="1276"/>
      <c r="L502" s="1276"/>
      <c r="M502" s="1288"/>
      <c r="N502" s="1275"/>
      <c r="O502" s="1275"/>
      <c r="P502" s="795" t="s">
        <v>3096</v>
      </c>
      <c r="Q502" s="752" t="s">
        <v>4020</v>
      </c>
      <c r="R502" s="796">
        <v>50</v>
      </c>
      <c r="S502" s="835"/>
    </row>
    <row r="503" spans="1:19" ht="202.5">
      <c r="A503" s="1289">
        <v>23</v>
      </c>
      <c r="B503" s="1277">
        <v>737964</v>
      </c>
      <c r="C503" s="1276" t="s">
        <v>380</v>
      </c>
      <c r="D503" s="1275" t="s">
        <v>1362</v>
      </c>
      <c r="E503" s="1275" t="s">
        <v>1362</v>
      </c>
      <c r="F503" s="1276">
        <v>4</v>
      </c>
      <c r="G503" s="1276">
        <v>3</v>
      </c>
      <c r="H503" s="1280" t="s">
        <v>3723</v>
      </c>
      <c r="I503" s="1281"/>
      <c r="J503" s="1287" t="s">
        <v>4071</v>
      </c>
      <c r="K503" s="1276">
        <v>0</v>
      </c>
      <c r="L503" s="1276">
        <v>4</v>
      </c>
      <c r="M503" s="1276" t="s">
        <v>4072</v>
      </c>
      <c r="N503" s="1275" t="s">
        <v>1362</v>
      </c>
      <c r="O503" s="1275" t="s">
        <v>1362</v>
      </c>
      <c r="P503" s="795" t="s">
        <v>1364</v>
      </c>
      <c r="Q503" s="752" t="s">
        <v>4020</v>
      </c>
      <c r="R503" s="796">
        <v>200</v>
      </c>
      <c r="S503" s="835"/>
    </row>
    <row r="504" spans="1:19" ht="67.5">
      <c r="A504" s="1289"/>
      <c r="B504" s="1278"/>
      <c r="C504" s="1276"/>
      <c r="D504" s="1275"/>
      <c r="E504" s="1275"/>
      <c r="F504" s="1276"/>
      <c r="G504" s="1276"/>
      <c r="H504" s="1282"/>
      <c r="I504" s="1283"/>
      <c r="J504" s="1287"/>
      <c r="K504" s="1276"/>
      <c r="L504" s="1276"/>
      <c r="M504" s="1276"/>
      <c r="N504" s="1275"/>
      <c r="O504" s="1275"/>
      <c r="P504" s="795" t="s">
        <v>1365</v>
      </c>
      <c r="Q504" s="752" t="s">
        <v>4020</v>
      </c>
      <c r="R504" s="796">
        <v>200</v>
      </c>
      <c r="S504" s="834"/>
    </row>
    <row r="505" spans="1:19" ht="45">
      <c r="A505" s="1289"/>
      <c r="B505" s="1278"/>
      <c r="C505" s="1276"/>
      <c r="D505" s="1275"/>
      <c r="E505" s="1275"/>
      <c r="F505" s="1276"/>
      <c r="G505" s="1276"/>
      <c r="H505" s="1282"/>
      <c r="I505" s="1283"/>
      <c r="J505" s="1287"/>
      <c r="K505" s="1276"/>
      <c r="L505" s="1276"/>
      <c r="M505" s="1276"/>
      <c r="N505" s="1275"/>
      <c r="O505" s="1275"/>
      <c r="P505" s="795" t="s">
        <v>3097</v>
      </c>
      <c r="Q505" s="752" t="s">
        <v>4020</v>
      </c>
      <c r="R505" s="796">
        <v>14</v>
      </c>
      <c r="S505" s="834"/>
    </row>
    <row r="506" spans="1:19" ht="22.5">
      <c r="A506" s="1289"/>
      <c r="B506" s="1278"/>
      <c r="C506" s="1276"/>
      <c r="D506" s="1275"/>
      <c r="E506" s="1275"/>
      <c r="F506" s="1276"/>
      <c r="G506" s="1276"/>
      <c r="H506" s="1282"/>
      <c r="I506" s="1283"/>
      <c r="J506" s="1287"/>
      <c r="K506" s="1276"/>
      <c r="L506" s="1276"/>
      <c r="M506" s="1276"/>
      <c r="N506" s="1275"/>
      <c r="O506" s="1275"/>
      <c r="P506" s="795" t="s">
        <v>3098</v>
      </c>
      <c r="Q506" s="752" t="s">
        <v>4020</v>
      </c>
      <c r="R506" s="796">
        <v>36</v>
      </c>
      <c r="S506" s="834"/>
    </row>
    <row r="507" spans="1:19" ht="22.5">
      <c r="A507" s="1289"/>
      <c r="B507" s="1279"/>
      <c r="C507" s="1276"/>
      <c r="D507" s="1275"/>
      <c r="E507" s="1275"/>
      <c r="F507" s="1276"/>
      <c r="G507" s="1276"/>
      <c r="H507" s="1284"/>
      <c r="I507" s="1285"/>
      <c r="J507" s="1287"/>
      <c r="K507" s="1276"/>
      <c r="L507" s="1276"/>
      <c r="M507" s="1276"/>
      <c r="N507" s="1275"/>
      <c r="O507" s="1275"/>
      <c r="P507" s="795" t="s">
        <v>3099</v>
      </c>
      <c r="Q507" s="752" t="s">
        <v>4020</v>
      </c>
      <c r="R507" s="796">
        <v>36</v>
      </c>
      <c r="S507" s="835"/>
    </row>
    <row r="508" spans="1:19" ht="67.5">
      <c r="A508" s="1289">
        <v>24</v>
      </c>
      <c r="B508" s="1276">
        <v>738774</v>
      </c>
      <c r="C508" s="1276" t="s">
        <v>3100</v>
      </c>
      <c r="D508" s="1276" t="s">
        <v>3101</v>
      </c>
      <c r="E508" s="1276" t="s">
        <v>3101</v>
      </c>
      <c r="F508" s="1276">
        <v>6</v>
      </c>
      <c r="G508" s="1276">
        <v>2</v>
      </c>
      <c r="H508" s="1280" t="s">
        <v>4073</v>
      </c>
      <c r="I508" s="1281"/>
      <c r="J508" s="1287" t="s">
        <v>4074</v>
      </c>
      <c r="K508" s="1276">
        <v>0</v>
      </c>
      <c r="L508" s="1276">
        <v>8</v>
      </c>
      <c r="M508" s="1276" t="s">
        <v>3685</v>
      </c>
      <c r="N508" s="1276" t="s">
        <v>3101</v>
      </c>
      <c r="O508" s="1276" t="s">
        <v>3101</v>
      </c>
      <c r="P508" s="795" t="s">
        <v>3102</v>
      </c>
      <c r="Q508" s="752" t="s">
        <v>4020</v>
      </c>
      <c r="R508" s="796">
        <v>10</v>
      </c>
      <c r="S508" s="835"/>
    </row>
    <row r="509" spans="1:19" ht="22.5">
      <c r="A509" s="1289"/>
      <c r="B509" s="1276"/>
      <c r="C509" s="1276"/>
      <c r="D509" s="1276"/>
      <c r="E509" s="1276"/>
      <c r="F509" s="1276"/>
      <c r="G509" s="1276"/>
      <c r="H509" s="1282"/>
      <c r="I509" s="1283"/>
      <c r="J509" s="1287"/>
      <c r="K509" s="1276"/>
      <c r="L509" s="1276"/>
      <c r="M509" s="1276"/>
      <c r="N509" s="1276"/>
      <c r="O509" s="1276"/>
      <c r="P509" s="795" t="s">
        <v>3103</v>
      </c>
      <c r="Q509" s="752" t="s">
        <v>4020</v>
      </c>
      <c r="R509" s="796">
        <v>36</v>
      </c>
      <c r="S509" s="835"/>
    </row>
    <row r="510" spans="1:19" ht="45">
      <c r="A510" s="1289"/>
      <c r="B510" s="1276"/>
      <c r="C510" s="1276"/>
      <c r="D510" s="1276"/>
      <c r="E510" s="1276"/>
      <c r="F510" s="1276"/>
      <c r="G510" s="1276"/>
      <c r="H510" s="1284"/>
      <c r="I510" s="1285"/>
      <c r="J510" s="1287"/>
      <c r="K510" s="1276"/>
      <c r="L510" s="1276"/>
      <c r="M510" s="1276"/>
      <c r="N510" s="1276"/>
      <c r="O510" s="1276"/>
      <c r="P510" s="795" t="s">
        <v>3097</v>
      </c>
      <c r="Q510" s="752" t="s">
        <v>4020</v>
      </c>
      <c r="R510" s="796">
        <v>14</v>
      </c>
      <c r="S510" s="835"/>
    </row>
    <row r="511" spans="1:19" ht="45">
      <c r="A511" s="1286">
        <v>25</v>
      </c>
      <c r="B511" s="1275">
        <v>738873</v>
      </c>
      <c r="C511" s="1276" t="s">
        <v>1355</v>
      </c>
      <c r="D511" s="1276" t="s">
        <v>3104</v>
      </c>
      <c r="E511" s="1276" t="s">
        <v>3104</v>
      </c>
      <c r="F511" s="1276">
        <v>4</v>
      </c>
      <c r="G511" s="1276">
        <v>1</v>
      </c>
      <c r="H511" s="1280" t="s">
        <v>3723</v>
      </c>
      <c r="I511" s="1281"/>
      <c r="J511" s="1287" t="s">
        <v>4075</v>
      </c>
      <c r="K511" s="1276">
        <v>0</v>
      </c>
      <c r="L511" s="1276">
        <v>4</v>
      </c>
      <c r="M511" s="1276" t="s">
        <v>4076</v>
      </c>
      <c r="N511" s="1276" t="s">
        <v>3104</v>
      </c>
      <c r="O511" s="1276" t="s">
        <v>3104</v>
      </c>
      <c r="P511" s="795" t="s">
        <v>3106</v>
      </c>
      <c r="Q511" s="752" t="s">
        <v>4020</v>
      </c>
      <c r="R511" s="796">
        <v>14</v>
      </c>
      <c r="S511" s="835"/>
    </row>
    <row r="512" spans="1:19" ht="90">
      <c r="A512" s="1286"/>
      <c r="B512" s="1275"/>
      <c r="C512" s="1276"/>
      <c r="D512" s="1276"/>
      <c r="E512" s="1276"/>
      <c r="F512" s="1276"/>
      <c r="G512" s="1276"/>
      <c r="H512" s="1282"/>
      <c r="I512" s="1283"/>
      <c r="J512" s="1287"/>
      <c r="K512" s="1276"/>
      <c r="L512" s="1276"/>
      <c r="M512" s="1276"/>
      <c r="N512" s="1276"/>
      <c r="O512" s="1276"/>
      <c r="P512" s="795" t="s">
        <v>3107</v>
      </c>
      <c r="Q512" s="752" t="s">
        <v>4020</v>
      </c>
      <c r="R512" s="796">
        <v>7000</v>
      </c>
      <c r="S512" s="834"/>
    </row>
    <row r="513" spans="1:19" ht="22.5">
      <c r="A513" s="1286"/>
      <c r="B513" s="1275"/>
      <c r="C513" s="1276"/>
      <c r="D513" s="1276"/>
      <c r="E513" s="1276"/>
      <c r="F513" s="1276"/>
      <c r="G513" s="1276"/>
      <c r="H513" s="1282"/>
      <c r="I513" s="1283"/>
      <c r="J513" s="1287"/>
      <c r="K513" s="1276"/>
      <c r="L513" s="1276"/>
      <c r="M513" s="1276"/>
      <c r="N513" s="1276"/>
      <c r="O513" s="1276"/>
      <c r="P513" s="795" t="s">
        <v>3108</v>
      </c>
      <c r="Q513" s="752" t="s">
        <v>4020</v>
      </c>
      <c r="R513" s="796">
        <v>36</v>
      </c>
      <c r="S513" s="834"/>
    </row>
    <row r="514" spans="1:19" ht="45">
      <c r="A514" s="1286"/>
      <c r="B514" s="1275"/>
      <c r="C514" s="1276"/>
      <c r="D514" s="1276"/>
      <c r="E514" s="1276"/>
      <c r="F514" s="1276"/>
      <c r="G514" s="1276"/>
      <c r="H514" s="1282"/>
      <c r="I514" s="1283"/>
      <c r="J514" s="1287"/>
      <c r="K514" s="1276"/>
      <c r="L514" s="1276"/>
      <c r="M514" s="1276"/>
      <c r="N514" s="1276"/>
      <c r="O514" s="1276"/>
      <c r="P514" s="795" t="s">
        <v>3109</v>
      </c>
      <c r="Q514" s="752" t="s">
        <v>4020</v>
      </c>
      <c r="R514" s="796">
        <v>100</v>
      </c>
      <c r="S514" s="835"/>
    </row>
    <row r="515" spans="1:19" ht="45">
      <c r="A515" s="1286"/>
      <c r="B515" s="1275"/>
      <c r="C515" s="1276"/>
      <c r="D515" s="1276"/>
      <c r="E515" s="1276"/>
      <c r="F515" s="1276"/>
      <c r="G515" s="1276"/>
      <c r="H515" s="1282"/>
      <c r="I515" s="1283"/>
      <c r="J515" s="1287"/>
      <c r="K515" s="1276"/>
      <c r="L515" s="1276"/>
      <c r="M515" s="1276"/>
      <c r="N515" s="1276"/>
      <c r="O515" s="1276"/>
      <c r="P515" s="795" t="s">
        <v>3110</v>
      </c>
      <c r="Q515" s="752" t="s">
        <v>4020</v>
      </c>
      <c r="R515" s="796">
        <v>100</v>
      </c>
      <c r="S515" s="835"/>
    </row>
    <row r="516" spans="1:19" ht="45">
      <c r="A516" s="1286">
        <v>26</v>
      </c>
      <c r="B516" s="1275">
        <v>742735</v>
      </c>
      <c r="C516" s="1276" t="s">
        <v>1366</v>
      </c>
      <c r="D516" s="1277" t="s">
        <v>1367</v>
      </c>
      <c r="E516" s="1277" t="s">
        <v>1368</v>
      </c>
      <c r="F516" s="1276">
        <v>4</v>
      </c>
      <c r="G516" s="1276">
        <v>3</v>
      </c>
      <c r="H516" s="1280" t="s">
        <v>3725</v>
      </c>
      <c r="I516" s="1281"/>
      <c r="J516" s="1287" t="s">
        <v>1369</v>
      </c>
      <c r="K516" s="1276">
        <v>0</v>
      </c>
      <c r="L516" s="1276">
        <v>5</v>
      </c>
      <c r="M516" s="1276" t="s">
        <v>4077</v>
      </c>
      <c r="N516" s="1276" t="s">
        <v>1367</v>
      </c>
      <c r="O516" s="1276" t="s">
        <v>1368</v>
      </c>
      <c r="P516" s="795" t="s">
        <v>1370</v>
      </c>
      <c r="Q516" s="752" t="s">
        <v>4020</v>
      </c>
      <c r="R516" s="796">
        <v>200</v>
      </c>
      <c r="S516" s="835"/>
    </row>
    <row r="517" spans="1:19" ht="45">
      <c r="A517" s="1286"/>
      <c r="B517" s="1275"/>
      <c r="C517" s="1276"/>
      <c r="D517" s="1278"/>
      <c r="E517" s="1278"/>
      <c r="F517" s="1276"/>
      <c r="G517" s="1276"/>
      <c r="H517" s="1282"/>
      <c r="I517" s="1283"/>
      <c r="J517" s="1287"/>
      <c r="K517" s="1276"/>
      <c r="L517" s="1276"/>
      <c r="M517" s="1276"/>
      <c r="N517" s="1276"/>
      <c r="O517" s="1276"/>
      <c r="P517" s="795" t="s">
        <v>3111</v>
      </c>
      <c r="Q517" s="752" t="s">
        <v>4020</v>
      </c>
      <c r="R517" s="796">
        <v>14</v>
      </c>
      <c r="S517" s="835"/>
    </row>
    <row r="518" spans="1:19" ht="22.5">
      <c r="A518" s="1286"/>
      <c r="B518" s="1275"/>
      <c r="C518" s="1276"/>
      <c r="D518" s="1278"/>
      <c r="E518" s="1278"/>
      <c r="F518" s="1276"/>
      <c r="G518" s="1276"/>
      <c r="H518" s="1282"/>
      <c r="I518" s="1283"/>
      <c r="J518" s="1287"/>
      <c r="K518" s="1276"/>
      <c r="L518" s="1276"/>
      <c r="M518" s="1276"/>
      <c r="N518" s="1276"/>
      <c r="O518" s="1276"/>
      <c r="P518" s="795" t="s">
        <v>3108</v>
      </c>
      <c r="Q518" s="752" t="s">
        <v>4020</v>
      </c>
      <c r="R518" s="796">
        <v>36</v>
      </c>
      <c r="S518" s="834"/>
    </row>
    <row r="519" spans="1:19" ht="67.5">
      <c r="A519" s="1286"/>
      <c r="B519" s="1275"/>
      <c r="C519" s="1276"/>
      <c r="D519" s="1279"/>
      <c r="E519" s="1279"/>
      <c r="F519" s="1276"/>
      <c r="G519" s="1276"/>
      <c r="H519" s="1284"/>
      <c r="I519" s="1285"/>
      <c r="J519" s="1287"/>
      <c r="K519" s="1276"/>
      <c r="L519" s="1276"/>
      <c r="M519" s="1276"/>
      <c r="N519" s="1276"/>
      <c r="O519" s="1276"/>
      <c r="P519" s="795" t="s">
        <v>3112</v>
      </c>
      <c r="Q519" s="752" t="s">
        <v>4020</v>
      </c>
      <c r="R519" s="796">
        <v>10</v>
      </c>
      <c r="S519" s="835"/>
    </row>
    <row r="520" spans="1:19" ht="90">
      <c r="A520" s="1286">
        <v>27</v>
      </c>
      <c r="B520" s="1275">
        <v>737964</v>
      </c>
      <c r="C520" s="1276" t="s">
        <v>380</v>
      </c>
      <c r="D520" s="1276" t="s">
        <v>3113</v>
      </c>
      <c r="E520" s="1276" t="s">
        <v>3113</v>
      </c>
      <c r="F520" s="1276">
        <v>4</v>
      </c>
      <c r="G520" s="1276">
        <v>3</v>
      </c>
      <c r="H520" s="1280" t="s">
        <v>4078</v>
      </c>
      <c r="I520" s="1281"/>
      <c r="J520" s="1287" t="s">
        <v>4079</v>
      </c>
      <c r="K520" s="1276">
        <v>0</v>
      </c>
      <c r="L520" s="1276">
        <v>3</v>
      </c>
      <c r="M520" s="1276" t="s">
        <v>4080</v>
      </c>
      <c r="N520" s="1276" t="s">
        <v>3113</v>
      </c>
      <c r="O520" s="1276" t="s">
        <v>3113</v>
      </c>
      <c r="P520" s="795" t="s">
        <v>3114</v>
      </c>
      <c r="Q520" s="752" t="s">
        <v>4020</v>
      </c>
      <c r="R520" s="796">
        <v>7000</v>
      </c>
      <c r="S520" s="835"/>
    </row>
    <row r="521" spans="1:19" ht="45">
      <c r="A521" s="1286"/>
      <c r="B521" s="1275"/>
      <c r="C521" s="1276"/>
      <c r="D521" s="1276"/>
      <c r="E521" s="1276"/>
      <c r="F521" s="1276"/>
      <c r="G521" s="1276"/>
      <c r="H521" s="1282"/>
      <c r="I521" s="1283"/>
      <c r="J521" s="1287"/>
      <c r="K521" s="1276"/>
      <c r="L521" s="1276"/>
      <c r="M521" s="1276"/>
      <c r="N521" s="1276"/>
      <c r="O521" s="1276"/>
      <c r="P521" s="795" t="s">
        <v>3674</v>
      </c>
      <c r="Q521" s="752" t="s">
        <v>4020</v>
      </c>
      <c r="R521" s="796">
        <v>10</v>
      </c>
      <c r="S521" s="835"/>
    </row>
    <row r="522" spans="1:19" ht="67.5">
      <c r="A522" s="1286"/>
      <c r="B522" s="1275"/>
      <c r="C522" s="1276"/>
      <c r="D522" s="1276"/>
      <c r="E522" s="1276"/>
      <c r="F522" s="1276"/>
      <c r="G522" s="1276"/>
      <c r="H522" s="1282"/>
      <c r="I522" s="1283"/>
      <c r="J522" s="1287"/>
      <c r="K522" s="1276"/>
      <c r="L522" s="1276"/>
      <c r="M522" s="1276"/>
      <c r="N522" s="1276"/>
      <c r="O522" s="1276"/>
      <c r="P522" s="795" t="s">
        <v>3115</v>
      </c>
      <c r="Q522" s="752" t="s">
        <v>4020</v>
      </c>
      <c r="R522" s="796">
        <v>100</v>
      </c>
      <c r="S522" s="835"/>
    </row>
    <row r="523" spans="1:19" ht="45">
      <c r="A523" s="1286"/>
      <c r="B523" s="1275"/>
      <c r="C523" s="1276"/>
      <c r="D523" s="1276"/>
      <c r="E523" s="1276"/>
      <c r="F523" s="1276"/>
      <c r="G523" s="1276"/>
      <c r="H523" s="1284"/>
      <c r="I523" s="1285"/>
      <c r="J523" s="1287"/>
      <c r="K523" s="1276"/>
      <c r="L523" s="1276"/>
      <c r="M523" s="1276"/>
      <c r="N523" s="1276"/>
      <c r="O523" s="1276"/>
      <c r="P523" s="795" t="s">
        <v>3116</v>
      </c>
      <c r="Q523" s="752" t="s">
        <v>4020</v>
      </c>
      <c r="R523" s="796">
        <v>10</v>
      </c>
      <c r="S523" s="835"/>
    </row>
    <row r="524" spans="1:19" ht="67.5">
      <c r="A524" s="1286">
        <v>28</v>
      </c>
      <c r="B524" s="1275">
        <v>740564</v>
      </c>
      <c r="C524" s="1276" t="s">
        <v>3117</v>
      </c>
      <c r="D524" s="1277" t="s">
        <v>1348</v>
      </c>
      <c r="E524" s="1277" t="s">
        <v>1348</v>
      </c>
      <c r="F524" s="1276">
        <v>5</v>
      </c>
      <c r="G524" s="1276">
        <v>3</v>
      </c>
      <c r="H524" s="1280" t="s">
        <v>4081</v>
      </c>
      <c r="I524" s="1281"/>
      <c r="J524" s="1287" t="s">
        <v>4082</v>
      </c>
      <c r="K524" s="1276">
        <v>0</v>
      </c>
      <c r="L524" s="1276">
        <v>5</v>
      </c>
      <c r="M524" s="1276" t="s">
        <v>4083</v>
      </c>
      <c r="N524" s="1276" t="s">
        <v>1348</v>
      </c>
      <c r="O524" s="1276" t="s">
        <v>1348</v>
      </c>
      <c r="P524" s="795" t="s">
        <v>4084</v>
      </c>
      <c r="Q524" s="752" t="s">
        <v>4020</v>
      </c>
      <c r="R524" s="796">
        <v>100</v>
      </c>
      <c r="S524" s="835"/>
    </row>
    <row r="525" spans="1:19" ht="90">
      <c r="A525" s="1286"/>
      <c r="B525" s="1275"/>
      <c r="C525" s="1276"/>
      <c r="D525" s="1278"/>
      <c r="E525" s="1278"/>
      <c r="F525" s="1276"/>
      <c r="G525" s="1276"/>
      <c r="H525" s="1282"/>
      <c r="I525" s="1283"/>
      <c r="J525" s="1287"/>
      <c r="K525" s="1276"/>
      <c r="L525" s="1276"/>
      <c r="M525" s="1276"/>
      <c r="N525" s="1276"/>
      <c r="O525" s="1276"/>
      <c r="P525" s="795" t="s">
        <v>4085</v>
      </c>
      <c r="Q525" s="752" t="s">
        <v>4020</v>
      </c>
      <c r="R525" s="796">
        <v>7000</v>
      </c>
      <c r="S525" s="835"/>
    </row>
    <row r="526" spans="1:19" ht="45">
      <c r="A526" s="1286"/>
      <c r="B526" s="1275"/>
      <c r="C526" s="1276"/>
      <c r="D526" s="1278"/>
      <c r="E526" s="1278"/>
      <c r="F526" s="1276"/>
      <c r="G526" s="1276"/>
      <c r="H526" s="1282"/>
      <c r="I526" s="1283"/>
      <c r="J526" s="1287"/>
      <c r="K526" s="1276"/>
      <c r="L526" s="1276"/>
      <c r="M526" s="1276"/>
      <c r="N526" s="1276"/>
      <c r="O526" s="1276"/>
      <c r="P526" s="795" t="s">
        <v>3139</v>
      </c>
      <c r="Q526" s="752" t="s">
        <v>4020</v>
      </c>
      <c r="R526" s="796">
        <v>10</v>
      </c>
      <c r="S526" s="835"/>
    </row>
    <row r="527" spans="1:19" ht="22.5">
      <c r="A527" s="1286"/>
      <c r="B527" s="1275"/>
      <c r="C527" s="1276"/>
      <c r="D527" s="1278"/>
      <c r="E527" s="1278"/>
      <c r="F527" s="1276"/>
      <c r="G527" s="1276"/>
      <c r="H527" s="1282"/>
      <c r="I527" s="1283"/>
      <c r="J527" s="1287"/>
      <c r="K527" s="1276"/>
      <c r="L527" s="1276"/>
      <c r="M527" s="1276"/>
      <c r="N527" s="1276"/>
      <c r="O527" s="1276"/>
      <c r="P527" s="795" t="s">
        <v>3098</v>
      </c>
      <c r="Q527" s="752" t="s">
        <v>4020</v>
      </c>
      <c r="R527" s="796">
        <v>10</v>
      </c>
      <c r="S527" s="835"/>
    </row>
    <row r="528" spans="1:19" ht="45">
      <c r="A528" s="1286"/>
      <c r="B528" s="1275"/>
      <c r="C528" s="1276"/>
      <c r="D528" s="1278"/>
      <c r="E528" s="1278"/>
      <c r="F528" s="1276"/>
      <c r="G528" s="1276"/>
      <c r="H528" s="1282"/>
      <c r="I528" s="1283"/>
      <c r="J528" s="1287"/>
      <c r="K528" s="1276"/>
      <c r="L528" s="1276"/>
      <c r="M528" s="1276"/>
      <c r="N528" s="1276"/>
      <c r="O528" s="1276"/>
      <c r="P528" s="795" t="s">
        <v>4086</v>
      </c>
      <c r="Q528" s="752" t="s">
        <v>4020</v>
      </c>
      <c r="R528" s="796">
        <v>36</v>
      </c>
      <c r="S528" s="835"/>
    </row>
    <row r="529" spans="1:19" ht="67.5">
      <c r="A529" s="1286">
        <v>29</v>
      </c>
      <c r="B529" s="1275">
        <v>739444</v>
      </c>
      <c r="C529" s="1276" t="s">
        <v>1371</v>
      </c>
      <c r="D529" s="1277" t="s">
        <v>1372</v>
      </c>
      <c r="E529" s="1277" t="s">
        <v>1373</v>
      </c>
      <c r="F529" s="1276">
        <v>5</v>
      </c>
      <c r="G529" s="1276">
        <v>2</v>
      </c>
      <c r="H529" s="1280" t="s">
        <v>3738</v>
      </c>
      <c r="I529" s="1281"/>
      <c r="J529" s="1287" t="s">
        <v>3739</v>
      </c>
      <c r="K529" s="1276">
        <v>1</v>
      </c>
      <c r="L529" s="1276">
        <v>5</v>
      </c>
      <c r="M529" s="1288" t="s">
        <v>4087</v>
      </c>
      <c r="N529" s="1276" t="s">
        <v>1372</v>
      </c>
      <c r="O529" s="1276" t="s">
        <v>1373</v>
      </c>
      <c r="P529" s="795" t="s">
        <v>3119</v>
      </c>
      <c r="Q529" s="752" t="s">
        <v>4020</v>
      </c>
      <c r="R529" s="796">
        <v>10</v>
      </c>
      <c r="S529" s="835"/>
    </row>
    <row r="530" spans="1:19" ht="45">
      <c r="A530" s="1286"/>
      <c r="B530" s="1275"/>
      <c r="C530" s="1276"/>
      <c r="D530" s="1278"/>
      <c r="E530" s="1278"/>
      <c r="F530" s="1276"/>
      <c r="G530" s="1276"/>
      <c r="H530" s="1282"/>
      <c r="I530" s="1283"/>
      <c r="J530" s="1287"/>
      <c r="K530" s="1276"/>
      <c r="L530" s="1276"/>
      <c r="M530" s="1288"/>
      <c r="N530" s="1276"/>
      <c r="O530" s="1276"/>
      <c r="P530" s="795" t="s">
        <v>3111</v>
      </c>
      <c r="Q530" s="752" t="s">
        <v>4020</v>
      </c>
      <c r="R530" s="796">
        <v>14</v>
      </c>
      <c r="S530" s="835"/>
    </row>
    <row r="531" spans="1:19" ht="22.5">
      <c r="A531" s="1286"/>
      <c r="B531" s="1275"/>
      <c r="C531" s="1276"/>
      <c r="D531" s="1278"/>
      <c r="E531" s="1278"/>
      <c r="F531" s="1276"/>
      <c r="G531" s="1276"/>
      <c r="H531" s="1282"/>
      <c r="I531" s="1283"/>
      <c r="J531" s="1287"/>
      <c r="K531" s="1276"/>
      <c r="L531" s="1276"/>
      <c r="M531" s="1288"/>
      <c r="N531" s="1276"/>
      <c r="O531" s="1276"/>
      <c r="P531" s="795" t="s">
        <v>3108</v>
      </c>
      <c r="Q531" s="752" t="s">
        <v>4020</v>
      </c>
      <c r="R531" s="796">
        <v>36</v>
      </c>
      <c r="S531" s="835"/>
    </row>
    <row r="532" spans="1:19" ht="45">
      <c r="A532" s="1286"/>
      <c r="B532" s="1275"/>
      <c r="C532" s="1276"/>
      <c r="D532" s="1279"/>
      <c r="E532" s="1279"/>
      <c r="F532" s="1276"/>
      <c r="G532" s="1276"/>
      <c r="H532" s="1284"/>
      <c r="I532" s="1285"/>
      <c r="J532" s="1287"/>
      <c r="K532" s="1276"/>
      <c r="L532" s="1276"/>
      <c r="M532" s="1288"/>
      <c r="N532" s="1276"/>
      <c r="O532" s="1276"/>
      <c r="P532" s="795" t="s">
        <v>3120</v>
      </c>
      <c r="Q532" s="752" t="s">
        <v>4020</v>
      </c>
      <c r="R532" s="796">
        <v>1000</v>
      </c>
      <c r="S532" s="835"/>
    </row>
    <row r="533" spans="1:19" ht="112.5">
      <c r="A533" s="1286">
        <v>30</v>
      </c>
      <c r="B533" s="1275">
        <v>739444</v>
      </c>
      <c r="C533" s="1276" t="s">
        <v>1374</v>
      </c>
      <c r="D533" s="1277" t="s">
        <v>1320</v>
      </c>
      <c r="E533" s="1277" t="s">
        <v>1339</v>
      </c>
      <c r="F533" s="1276">
        <v>5</v>
      </c>
      <c r="G533" s="1276">
        <v>2</v>
      </c>
      <c r="H533" s="1280" t="s">
        <v>3742</v>
      </c>
      <c r="I533" s="1281"/>
      <c r="J533" s="1287" t="s">
        <v>4088</v>
      </c>
      <c r="K533" s="1276">
        <v>0</v>
      </c>
      <c r="L533" s="1276">
        <v>7</v>
      </c>
      <c r="M533" s="1288" t="s">
        <v>4089</v>
      </c>
      <c r="N533" s="1276" t="s">
        <v>1320</v>
      </c>
      <c r="O533" s="1276" t="s">
        <v>1339</v>
      </c>
      <c r="P533" s="795" t="s">
        <v>1375</v>
      </c>
      <c r="Q533" s="752" t="s">
        <v>4020</v>
      </c>
      <c r="R533" s="796">
        <v>500</v>
      </c>
      <c r="S533" s="835"/>
    </row>
    <row r="534" spans="1:19" ht="45">
      <c r="A534" s="1286"/>
      <c r="B534" s="1275"/>
      <c r="C534" s="1276"/>
      <c r="D534" s="1278"/>
      <c r="E534" s="1278"/>
      <c r="F534" s="1276"/>
      <c r="G534" s="1276"/>
      <c r="H534" s="1282"/>
      <c r="I534" s="1283"/>
      <c r="J534" s="1287"/>
      <c r="K534" s="1276"/>
      <c r="L534" s="1276"/>
      <c r="M534" s="1288"/>
      <c r="N534" s="1276"/>
      <c r="O534" s="1276"/>
      <c r="P534" s="795" t="s">
        <v>3674</v>
      </c>
      <c r="Q534" s="752" t="s">
        <v>4020</v>
      </c>
      <c r="R534" s="796">
        <v>10</v>
      </c>
      <c r="S534" s="835"/>
    </row>
    <row r="535" spans="1:19" ht="22.5">
      <c r="A535" s="1286"/>
      <c r="B535" s="1275"/>
      <c r="C535" s="1276"/>
      <c r="D535" s="1278"/>
      <c r="E535" s="1278"/>
      <c r="F535" s="1276"/>
      <c r="G535" s="1276"/>
      <c r="H535" s="1282"/>
      <c r="I535" s="1283"/>
      <c r="J535" s="1287"/>
      <c r="K535" s="1276"/>
      <c r="L535" s="1276"/>
      <c r="M535" s="1288"/>
      <c r="N535" s="1276"/>
      <c r="O535" s="1276"/>
      <c r="P535" s="795" t="s">
        <v>3108</v>
      </c>
      <c r="Q535" s="752" t="s">
        <v>4020</v>
      </c>
      <c r="R535" s="796">
        <v>36</v>
      </c>
      <c r="S535" s="835"/>
    </row>
    <row r="536" spans="1:19" ht="45">
      <c r="A536" s="1286"/>
      <c r="B536" s="1275"/>
      <c r="C536" s="1276"/>
      <c r="D536" s="1279"/>
      <c r="E536" s="1279"/>
      <c r="F536" s="1276"/>
      <c r="G536" s="1276"/>
      <c r="H536" s="1284"/>
      <c r="I536" s="1285"/>
      <c r="J536" s="1287"/>
      <c r="K536" s="1276"/>
      <c r="L536" s="1276"/>
      <c r="M536" s="1288"/>
      <c r="N536" s="1276"/>
      <c r="O536" s="1276"/>
      <c r="P536" s="795" t="s">
        <v>3121</v>
      </c>
      <c r="Q536" s="752" t="s">
        <v>4020</v>
      </c>
      <c r="R536" s="796">
        <v>14</v>
      </c>
      <c r="S536" s="835"/>
    </row>
    <row r="537" spans="1:19" ht="45">
      <c r="A537" s="1286">
        <v>31</v>
      </c>
      <c r="B537" s="1275">
        <v>739444</v>
      </c>
      <c r="C537" s="1276" t="s">
        <v>1371</v>
      </c>
      <c r="D537" s="1277" t="s">
        <v>1376</v>
      </c>
      <c r="E537" s="1277" t="s">
        <v>1376</v>
      </c>
      <c r="F537" s="1276">
        <v>6</v>
      </c>
      <c r="G537" s="1276">
        <v>3</v>
      </c>
      <c r="H537" s="1280" t="s">
        <v>3745</v>
      </c>
      <c r="I537" s="1281"/>
      <c r="J537" s="1287" t="s">
        <v>3746</v>
      </c>
      <c r="K537" s="1276">
        <v>3</v>
      </c>
      <c r="L537" s="1276">
        <v>4</v>
      </c>
      <c r="M537" s="1288" t="s">
        <v>4090</v>
      </c>
      <c r="N537" s="1276" t="s">
        <v>1376</v>
      </c>
      <c r="O537" s="1276" t="s">
        <v>1376</v>
      </c>
      <c r="P537" s="795" t="s">
        <v>1377</v>
      </c>
      <c r="Q537" s="752" t="s">
        <v>4020</v>
      </c>
      <c r="R537" s="796">
        <v>10</v>
      </c>
      <c r="S537" s="835"/>
    </row>
    <row r="538" spans="1:19" ht="67.5">
      <c r="A538" s="1286"/>
      <c r="B538" s="1275"/>
      <c r="C538" s="1276"/>
      <c r="D538" s="1278"/>
      <c r="E538" s="1278"/>
      <c r="F538" s="1276"/>
      <c r="G538" s="1276"/>
      <c r="H538" s="1282"/>
      <c r="I538" s="1283"/>
      <c r="J538" s="1287"/>
      <c r="K538" s="1276"/>
      <c r="L538" s="1276"/>
      <c r="M538" s="1288"/>
      <c r="N538" s="1276"/>
      <c r="O538" s="1276"/>
      <c r="P538" s="795" t="s">
        <v>3122</v>
      </c>
      <c r="Q538" s="752" t="s">
        <v>4020</v>
      </c>
      <c r="R538" s="796">
        <v>100</v>
      </c>
      <c r="S538" s="835"/>
    </row>
    <row r="539" spans="1:19" ht="45">
      <c r="A539" s="1286"/>
      <c r="B539" s="1275"/>
      <c r="C539" s="1276"/>
      <c r="D539" s="1278"/>
      <c r="E539" s="1278"/>
      <c r="F539" s="1276"/>
      <c r="G539" s="1276"/>
      <c r="H539" s="1282"/>
      <c r="I539" s="1283"/>
      <c r="J539" s="1287"/>
      <c r="K539" s="1276"/>
      <c r="L539" s="1276"/>
      <c r="M539" s="1288"/>
      <c r="N539" s="1276"/>
      <c r="O539" s="1276"/>
      <c r="P539" s="795" t="s">
        <v>3123</v>
      </c>
      <c r="Q539" s="752" t="s">
        <v>4020</v>
      </c>
      <c r="R539" s="796">
        <v>36</v>
      </c>
      <c r="S539" s="835"/>
    </row>
    <row r="540" spans="1:19" ht="45">
      <c r="A540" s="1286"/>
      <c r="B540" s="1275"/>
      <c r="C540" s="1276"/>
      <c r="D540" s="1278"/>
      <c r="E540" s="1278"/>
      <c r="F540" s="1276"/>
      <c r="G540" s="1276"/>
      <c r="H540" s="1282"/>
      <c r="I540" s="1283"/>
      <c r="J540" s="1287"/>
      <c r="K540" s="1276"/>
      <c r="L540" s="1276"/>
      <c r="M540" s="1288"/>
      <c r="N540" s="1276"/>
      <c r="O540" s="1276"/>
      <c r="P540" s="795" t="s">
        <v>3124</v>
      </c>
      <c r="Q540" s="752" t="s">
        <v>4020</v>
      </c>
      <c r="R540" s="796">
        <v>21</v>
      </c>
      <c r="S540" s="835"/>
    </row>
    <row r="541" spans="1:19" ht="45">
      <c r="A541" s="1286"/>
      <c r="B541" s="1275"/>
      <c r="C541" s="1276"/>
      <c r="D541" s="1279"/>
      <c r="E541" s="1279"/>
      <c r="F541" s="1276"/>
      <c r="G541" s="1276"/>
      <c r="H541" s="1284"/>
      <c r="I541" s="1285"/>
      <c r="J541" s="1287"/>
      <c r="K541" s="1276"/>
      <c r="L541" s="1276"/>
      <c r="M541" s="1288"/>
      <c r="N541" s="1276"/>
      <c r="O541" s="1276"/>
      <c r="P541" s="795" t="s">
        <v>3672</v>
      </c>
      <c r="Q541" s="752" t="s">
        <v>4020</v>
      </c>
      <c r="R541" s="796">
        <v>10</v>
      </c>
      <c r="S541" s="835"/>
    </row>
    <row r="542" spans="1:19" ht="90">
      <c r="A542" s="1286">
        <v>32</v>
      </c>
      <c r="B542" s="1275">
        <v>737882</v>
      </c>
      <c r="C542" s="1276" t="s">
        <v>1378</v>
      </c>
      <c r="D542" s="1277" t="s">
        <v>1317</v>
      </c>
      <c r="E542" s="1277" t="s">
        <v>1379</v>
      </c>
      <c r="F542" s="1276">
        <v>5</v>
      </c>
      <c r="G542" s="1276">
        <v>2</v>
      </c>
      <c r="H542" s="1280" t="s">
        <v>3762</v>
      </c>
      <c r="I542" s="1281"/>
      <c r="J542" s="1287" t="s">
        <v>4091</v>
      </c>
      <c r="K542" s="1276">
        <v>0</v>
      </c>
      <c r="L542" s="1276">
        <v>7</v>
      </c>
      <c r="M542" s="1276" t="s">
        <v>4092</v>
      </c>
      <c r="N542" s="1276" t="s">
        <v>1317</v>
      </c>
      <c r="O542" s="1276" t="s">
        <v>1379</v>
      </c>
      <c r="P542" s="795" t="s">
        <v>3125</v>
      </c>
      <c r="Q542" s="752" t="s">
        <v>4020</v>
      </c>
      <c r="R542" s="796">
        <v>500</v>
      </c>
      <c r="S542" s="835"/>
    </row>
    <row r="543" spans="1:19" ht="202.5">
      <c r="A543" s="1286"/>
      <c r="B543" s="1275"/>
      <c r="C543" s="1276"/>
      <c r="D543" s="1278"/>
      <c r="E543" s="1278"/>
      <c r="F543" s="1276"/>
      <c r="G543" s="1276"/>
      <c r="H543" s="1282"/>
      <c r="I543" s="1283"/>
      <c r="J543" s="1287"/>
      <c r="K543" s="1276"/>
      <c r="L543" s="1276"/>
      <c r="M543" s="1276"/>
      <c r="N543" s="1276"/>
      <c r="O543" s="1276"/>
      <c r="P543" s="795" t="s">
        <v>1380</v>
      </c>
      <c r="Q543" s="752" t="s">
        <v>4020</v>
      </c>
      <c r="R543" s="796">
        <v>1000</v>
      </c>
      <c r="S543" s="835"/>
    </row>
    <row r="544" spans="1:19" ht="45">
      <c r="A544" s="1286"/>
      <c r="B544" s="1275"/>
      <c r="C544" s="1276"/>
      <c r="D544" s="1278"/>
      <c r="E544" s="1278"/>
      <c r="F544" s="1276"/>
      <c r="G544" s="1276"/>
      <c r="H544" s="1282"/>
      <c r="I544" s="1283"/>
      <c r="J544" s="1287"/>
      <c r="K544" s="1276"/>
      <c r="L544" s="1276"/>
      <c r="M544" s="1276"/>
      <c r="N544" s="1276"/>
      <c r="O544" s="1276"/>
      <c r="P544" s="795" t="s">
        <v>4093</v>
      </c>
      <c r="Q544" s="752" t="s">
        <v>4020</v>
      </c>
      <c r="R544" s="796">
        <v>100</v>
      </c>
      <c r="S544" s="835"/>
    </row>
    <row r="545" spans="1:19" ht="45">
      <c r="A545" s="1286"/>
      <c r="B545" s="1275"/>
      <c r="C545" s="1276"/>
      <c r="D545" s="1278"/>
      <c r="E545" s="1278"/>
      <c r="F545" s="1276"/>
      <c r="G545" s="1276"/>
      <c r="H545" s="1282"/>
      <c r="I545" s="1283"/>
      <c r="J545" s="1287"/>
      <c r="K545" s="1276"/>
      <c r="L545" s="1276"/>
      <c r="M545" s="1276"/>
      <c r="N545" s="1276"/>
      <c r="O545" s="1276"/>
      <c r="P545" s="795" t="s">
        <v>3121</v>
      </c>
      <c r="Q545" s="752" t="s">
        <v>4020</v>
      </c>
      <c r="R545" s="796">
        <v>15</v>
      </c>
      <c r="S545" s="835"/>
    </row>
    <row r="546" spans="1:19" ht="22.5">
      <c r="A546" s="1286"/>
      <c r="B546" s="1275"/>
      <c r="C546" s="1276"/>
      <c r="D546" s="1278"/>
      <c r="E546" s="1278"/>
      <c r="F546" s="1276"/>
      <c r="G546" s="1276"/>
      <c r="H546" s="1282"/>
      <c r="I546" s="1283"/>
      <c r="J546" s="1287"/>
      <c r="K546" s="1276"/>
      <c r="L546" s="1276"/>
      <c r="M546" s="1276"/>
      <c r="N546" s="1276"/>
      <c r="O546" s="1276"/>
      <c r="P546" s="795" t="s">
        <v>3118</v>
      </c>
      <c r="Q546" s="752" t="s">
        <v>4020</v>
      </c>
      <c r="R546" s="796">
        <v>14</v>
      </c>
      <c r="S546" s="835"/>
    </row>
    <row r="547" spans="1:19" ht="90">
      <c r="A547" s="1286">
        <v>33</v>
      </c>
      <c r="B547" s="1275">
        <v>740212</v>
      </c>
      <c r="C547" s="1276" t="s">
        <v>1321</v>
      </c>
      <c r="D547" s="1277" t="s">
        <v>3130</v>
      </c>
      <c r="E547" s="1277" t="s">
        <v>3131</v>
      </c>
      <c r="F547" s="1276">
        <v>6</v>
      </c>
      <c r="G547" s="1276">
        <v>2</v>
      </c>
      <c r="H547" s="1280" t="s">
        <v>4094</v>
      </c>
      <c r="I547" s="1281"/>
      <c r="J547" s="1287" t="s">
        <v>4095</v>
      </c>
      <c r="K547" s="1276">
        <v>0</v>
      </c>
      <c r="L547" s="1276">
        <v>8</v>
      </c>
      <c r="M547" s="1276" t="s">
        <v>4096</v>
      </c>
      <c r="N547" s="1276" t="s">
        <v>3130</v>
      </c>
      <c r="O547" s="1276" t="s">
        <v>3131</v>
      </c>
      <c r="P547" s="795" t="s">
        <v>3132</v>
      </c>
      <c r="Q547" s="752" t="s">
        <v>4020</v>
      </c>
      <c r="R547" s="796">
        <v>500</v>
      </c>
      <c r="S547" s="835"/>
    </row>
    <row r="548" spans="1:19" ht="90">
      <c r="A548" s="1286"/>
      <c r="B548" s="1275"/>
      <c r="C548" s="1276"/>
      <c r="D548" s="1278"/>
      <c r="E548" s="1278"/>
      <c r="F548" s="1276"/>
      <c r="G548" s="1276"/>
      <c r="H548" s="1282"/>
      <c r="I548" s="1283"/>
      <c r="J548" s="1287"/>
      <c r="K548" s="1276"/>
      <c r="L548" s="1276"/>
      <c r="M548" s="1276"/>
      <c r="N548" s="1276"/>
      <c r="O548" s="1276"/>
      <c r="P548" s="795" t="s">
        <v>3133</v>
      </c>
      <c r="Q548" s="752" t="s">
        <v>4020</v>
      </c>
      <c r="R548" s="796">
        <v>100</v>
      </c>
      <c r="S548" s="834"/>
    </row>
    <row r="549" spans="1:19" ht="67.5">
      <c r="A549" s="1286"/>
      <c r="B549" s="1275"/>
      <c r="C549" s="1276"/>
      <c r="D549" s="1278"/>
      <c r="E549" s="1278"/>
      <c r="F549" s="1276"/>
      <c r="G549" s="1276"/>
      <c r="H549" s="1282"/>
      <c r="I549" s="1283"/>
      <c r="J549" s="1287"/>
      <c r="K549" s="1276"/>
      <c r="L549" s="1276"/>
      <c r="M549" s="1276"/>
      <c r="N549" s="1276"/>
      <c r="O549" s="1276"/>
      <c r="P549" s="795" t="s">
        <v>3134</v>
      </c>
      <c r="Q549" s="752" t="s">
        <v>4020</v>
      </c>
      <c r="R549" s="796">
        <v>10</v>
      </c>
      <c r="S549" s="835"/>
    </row>
    <row r="550" spans="1:19" ht="45">
      <c r="A550" s="1286"/>
      <c r="B550" s="1275"/>
      <c r="C550" s="1276"/>
      <c r="D550" s="1278"/>
      <c r="E550" s="1278"/>
      <c r="F550" s="1276"/>
      <c r="G550" s="1276"/>
      <c r="H550" s="1282"/>
      <c r="I550" s="1283"/>
      <c r="J550" s="1287"/>
      <c r="K550" s="1276"/>
      <c r="L550" s="1276"/>
      <c r="M550" s="1276"/>
      <c r="N550" s="1276"/>
      <c r="O550" s="1276"/>
      <c r="P550" s="795" t="s">
        <v>3121</v>
      </c>
      <c r="Q550" s="752" t="s">
        <v>4020</v>
      </c>
      <c r="R550" s="796">
        <v>14</v>
      </c>
      <c r="S550" s="835"/>
    </row>
    <row r="551" spans="1:19" ht="22.5">
      <c r="A551" s="1286"/>
      <c r="B551" s="1275"/>
      <c r="C551" s="1276"/>
      <c r="D551" s="1279"/>
      <c r="E551" s="1279"/>
      <c r="F551" s="1276"/>
      <c r="G551" s="1276"/>
      <c r="H551" s="1284"/>
      <c r="I551" s="1285"/>
      <c r="J551" s="1287"/>
      <c r="K551" s="1276"/>
      <c r="L551" s="1276"/>
      <c r="M551" s="1276"/>
      <c r="N551" s="1276"/>
      <c r="O551" s="1276"/>
      <c r="P551" s="795" t="s">
        <v>3118</v>
      </c>
      <c r="Q551" s="752" t="s">
        <v>4020</v>
      </c>
      <c r="R551" s="796">
        <v>36</v>
      </c>
      <c r="S551" s="835"/>
    </row>
    <row r="552" spans="1:19" ht="90">
      <c r="A552" s="1286">
        <v>34</v>
      </c>
      <c r="B552" s="1275">
        <v>736045</v>
      </c>
      <c r="C552" s="1276" t="s">
        <v>366</v>
      </c>
      <c r="D552" s="1277" t="s">
        <v>1381</v>
      </c>
      <c r="E552" s="1277" t="s">
        <v>1382</v>
      </c>
      <c r="F552" s="1276">
        <v>5</v>
      </c>
      <c r="G552" s="1276">
        <v>2</v>
      </c>
      <c r="H552" s="1280" t="s">
        <v>3765</v>
      </c>
      <c r="I552" s="1281"/>
      <c r="J552" s="1287" t="s">
        <v>3766</v>
      </c>
      <c r="K552" s="1276">
        <v>0</v>
      </c>
      <c r="L552" s="1276">
        <v>6</v>
      </c>
      <c r="M552" s="1276" t="s">
        <v>4089</v>
      </c>
      <c r="N552" s="1276" t="s">
        <v>1381</v>
      </c>
      <c r="O552" s="1276" t="s">
        <v>1382</v>
      </c>
      <c r="P552" s="795" t="s">
        <v>3135</v>
      </c>
      <c r="Q552" s="752" t="s">
        <v>4020</v>
      </c>
      <c r="R552" s="796">
        <v>7000</v>
      </c>
      <c r="S552" s="835"/>
    </row>
    <row r="553" spans="1:19" ht="67.5">
      <c r="A553" s="1286"/>
      <c r="B553" s="1275"/>
      <c r="C553" s="1276"/>
      <c r="D553" s="1278"/>
      <c r="E553" s="1278"/>
      <c r="F553" s="1276"/>
      <c r="G553" s="1276"/>
      <c r="H553" s="1282"/>
      <c r="I553" s="1283"/>
      <c r="J553" s="1287"/>
      <c r="K553" s="1276"/>
      <c r="L553" s="1276"/>
      <c r="M553" s="1276"/>
      <c r="N553" s="1276"/>
      <c r="O553" s="1276"/>
      <c r="P553" s="795" t="s">
        <v>1383</v>
      </c>
      <c r="Q553" s="752" t="s">
        <v>4020</v>
      </c>
      <c r="R553" s="796">
        <v>500</v>
      </c>
      <c r="S553" s="835"/>
    </row>
    <row r="554" spans="1:19" ht="67.5">
      <c r="A554" s="1286"/>
      <c r="B554" s="1275"/>
      <c r="C554" s="1276"/>
      <c r="D554" s="1278"/>
      <c r="E554" s="1278"/>
      <c r="F554" s="1276"/>
      <c r="G554" s="1276"/>
      <c r="H554" s="1282"/>
      <c r="I554" s="1283"/>
      <c r="J554" s="1287"/>
      <c r="K554" s="1276"/>
      <c r="L554" s="1276"/>
      <c r="M554" s="1276"/>
      <c r="N554" s="1276"/>
      <c r="O554" s="1276"/>
      <c r="P554" s="795" t="s">
        <v>3136</v>
      </c>
      <c r="Q554" s="752" t="s">
        <v>4020</v>
      </c>
      <c r="R554" s="796">
        <v>10</v>
      </c>
      <c r="S554" s="835"/>
    </row>
    <row r="555" spans="1:19" ht="22.5">
      <c r="A555" s="1286"/>
      <c r="B555" s="1275"/>
      <c r="C555" s="1276"/>
      <c r="D555" s="1278"/>
      <c r="E555" s="1278"/>
      <c r="F555" s="1276"/>
      <c r="G555" s="1276"/>
      <c r="H555" s="1282"/>
      <c r="I555" s="1283"/>
      <c r="J555" s="1287"/>
      <c r="K555" s="1276"/>
      <c r="L555" s="1276"/>
      <c r="M555" s="1276"/>
      <c r="N555" s="1276"/>
      <c r="O555" s="1276"/>
      <c r="P555" s="795" t="s">
        <v>3098</v>
      </c>
      <c r="Q555" s="752" t="s">
        <v>4020</v>
      </c>
      <c r="R555" s="796">
        <v>36</v>
      </c>
      <c r="S555" s="835"/>
    </row>
    <row r="556" spans="1:19" ht="45">
      <c r="A556" s="1286"/>
      <c r="B556" s="1275"/>
      <c r="C556" s="1276"/>
      <c r="D556" s="1279"/>
      <c r="E556" s="1279"/>
      <c r="F556" s="1276"/>
      <c r="G556" s="1276"/>
      <c r="H556" s="1284"/>
      <c r="I556" s="1285"/>
      <c r="J556" s="1287"/>
      <c r="K556" s="1276"/>
      <c r="L556" s="1276"/>
      <c r="M556" s="1276"/>
      <c r="N556" s="1276"/>
      <c r="O556" s="1276"/>
      <c r="P556" s="795" t="s">
        <v>3137</v>
      </c>
      <c r="Q556" s="752" t="s">
        <v>4020</v>
      </c>
      <c r="R556" s="796">
        <v>14</v>
      </c>
      <c r="S556" s="835"/>
    </row>
    <row r="557" spans="1:19" ht="67.5">
      <c r="A557" s="1286">
        <v>35</v>
      </c>
      <c r="B557" s="1275">
        <v>739006</v>
      </c>
      <c r="C557" s="1276" t="s">
        <v>1384</v>
      </c>
      <c r="D557" s="1277" t="s">
        <v>1354</v>
      </c>
      <c r="E557" s="1277" t="s">
        <v>1385</v>
      </c>
      <c r="F557" s="1276">
        <v>5</v>
      </c>
      <c r="G557" s="1276">
        <v>2</v>
      </c>
      <c r="H557" s="1280" t="s">
        <v>3765</v>
      </c>
      <c r="I557" s="1281"/>
      <c r="J557" s="1287" t="s">
        <v>3766</v>
      </c>
      <c r="K557" s="1276">
        <v>0</v>
      </c>
      <c r="L557" s="1276">
        <v>12</v>
      </c>
      <c r="M557" s="1276" t="s">
        <v>4097</v>
      </c>
      <c r="N557" s="1276" t="s">
        <v>1354</v>
      </c>
      <c r="O557" s="1276" t="s">
        <v>1385</v>
      </c>
      <c r="P557" s="795" t="s">
        <v>1457</v>
      </c>
      <c r="Q557" s="752" t="s">
        <v>4020</v>
      </c>
      <c r="R557" s="796">
        <v>500</v>
      </c>
      <c r="S557" s="835"/>
    </row>
    <row r="558" spans="1:19" ht="112.5">
      <c r="A558" s="1286"/>
      <c r="B558" s="1275"/>
      <c r="C558" s="1276"/>
      <c r="D558" s="1278"/>
      <c r="E558" s="1278"/>
      <c r="F558" s="1276"/>
      <c r="G558" s="1276"/>
      <c r="H558" s="1282"/>
      <c r="I558" s="1283"/>
      <c r="J558" s="1287"/>
      <c r="K558" s="1276"/>
      <c r="L558" s="1276"/>
      <c r="M558" s="1276"/>
      <c r="N558" s="1276"/>
      <c r="O558" s="1276"/>
      <c r="P558" s="795" t="s">
        <v>3138</v>
      </c>
      <c r="Q558" s="752" t="s">
        <v>4020</v>
      </c>
      <c r="R558" s="796">
        <v>500</v>
      </c>
      <c r="S558" s="835"/>
    </row>
    <row r="559" spans="1:19" ht="45">
      <c r="A559" s="1286"/>
      <c r="B559" s="1275"/>
      <c r="C559" s="1276"/>
      <c r="D559" s="1278"/>
      <c r="E559" s="1278"/>
      <c r="F559" s="1276"/>
      <c r="G559" s="1276"/>
      <c r="H559" s="1282"/>
      <c r="I559" s="1283"/>
      <c r="J559" s="1287"/>
      <c r="K559" s="1276"/>
      <c r="L559" s="1276"/>
      <c r="M559" s="1276"/>
      <c r="N559" s="1276"/>
      <c r="O559" s="1276"/>
      <c r="P559" s="795" t="s">
        <v>3139</v>
      </c>
      <c r="Q559" s="752" t="s">
        <v>4020</v>
      </c>
      <c r="R559" s="796">
        <v>10</v>
      </c>
      <c r="S559" s="835"/>
    </row>
    <row r="560" spans="1:19" ht="22.5">
      <c r="A560" s="1286"/>
      <c r="B560" s="1275"/>
      <c r="C560" s="1276"/>
      <c r="D560" s="1278"/>
      <c r="E560" s="1278"/>
      <c r="F560" s="1276"/>
      <c r="G560" s="1276"/>
      <c r="H560" s="1282"/>
      <c r="I560" s="1283"/>
      <c r="J560" s="1287"/>
      <c r="K560" s="1276"/>
      <c r="L560" s="1276"/>
      <c r="M560" s="1276"/>
      <c r="N560" s="1276"/>
      <c r="O560" s="1276"/>
      <c r="P560" s="795" t="s">
        <v>3098</v>
      </c>
      <c r="Q560" s="752" t="s">
        <v>4020</v>
      </c>
      <c r="R560" s="796">
        <v>36</v>
      </c>
      <c r="S560" s="836"/>
    </row>
    <row r="561" spans="1:19" ht="45">
      <c r="A561" s="1286"/>
      <c r="B561" s="1275"/>
      <c r="C561" s="1276"/>
      <c r="D561" s="1279"/>
      <c r="E561" s="1279"/>
      <c r="F561" s="1276"/>
      <c r="G561" s="1276"/>
      <c r="H561" s="1284"/>
      <c r="I561" s="1285"/>
      <c r="J561" s="1287"/>
      <c r="K561" s="1276"/>
      <c r="L561" s="1276"/>
      <c r="M561" s="1276"/>
      <c r="N561" s="1276"/>
      <c r="O561" s="1276"/>
      <c r="P561" s="795" t="s">
        <v>3137</v>
      </c>
      <c r="Q561" s="752" t="s">
        <v>4020</v>
      </c>
      <c r="R561" s="837">
        <v>14</v>
      </c>
      <c r="S561" s="836"/>
    </row>
    <row r="562" spans="1:19" ht="67.5">
      <c r="A562" s="1271">
        <v>36</v>
      </c>
      <c r="B562" s="1256">
        <v>739006</v>
      </c>
      <c r="C562" s="1256" t="s">
        <v>1384</v>
      </c>
      <c r="D562" s="1257" t="s">
        <v>3140</v>
      </c>
      <c r="E562" s="1257" t="s">
        <v>3141</v>
      </c>
      <c r="F562" s="1256">
        <v>3</v>
      </c>
      <c r="G562" s="1256">
        <v>1</v>
      </c>
      <c r="H562" s="1260" t="s">
        <v>3533</v>
      </c>
      <c r="I562" s="1261"/>
      <c r="J562" s="1266" t="s">
        <v>4098</v>
      </c>
      <c r="K562" s="1256">
        <v>0</v>
      </c>
      <c r="L562" s="1256">
        <v>7</v>
      </c>
      <c r="M562" s="1272" t="s">
        <v>3105</v>
      </c>
      <c r="N562" s="883" t="s">
        <v>3140</v>
      </c>
      <c r="O562" s="883" t="s">
        <v>3141</v>
      </c>
      <c r="P562" s="795" t="s">
        <v>3142</v>
      </c>
      <c r="Q562" s="752" t="s">
        <v>4020</v>
      </c>
      <c r="R562" s="796">
        <v>100</v>
      </c>
      <c r="S562" s="836"/>
    </row>
    <row r="563" spans="1:19" ht="45">
      <c r="A563" s="1271"/>
      <c r="B563" s="1256"/>
      <c r="C563" s="1256"/>
      <c r="D563" s="1259"/>
      <c r="E563" s="1259"/>
      <c r="F563" s="1256"/>
      <c r="G563" s="1256"/>
      <c r="H563" s="1264"/>
      <c r="I563" s="1265"/>
      <c r="J563" s="1266"/>
      <c r="K563" s="1256"/>
      <c r="L563" s="1256"/>
      <c r="M563" s="1273"/>
      <c r="N563" s="883"/>
      <c r="O563" s="883"/>
      <c r="P563" s="795" t="s">
        <v>3143</v>
      </c>
      <c r="Q563" s="752" t="s">
        <v>4020</v>
      </c>
      <c r="R563" s="837">
        <v>7000</v>
      </c>
      <c r="S563" s="836"/>
    </row>
    <row r="564" spans="1:19" ht="67.5">
      <c r="A564" s="1255">
        <v>37</v>
      </c>
      <c r="B564" s="1256">
        <v>738434</v>
      </c>
      <c r="C564" s="1256" t="s">
        <v>3144</v>
      </c>
      <c r="D564" s="1257" t="s">
        <v>3145</v>
      </c>
      <c r="E564" s="1257" t="s">
        <v>3146</v>
      </c>
      <c r="F564" s="1256">
        <v>10</v>
      </c>
      <c r="G564" s="1256">
        <v>3</v>
      </c>
      <c r="H564" s="1260" t="s">
        <v>4099</v>
      </c>
      <c r="I564" s="1261"/>
      <c r="J564" s="1266" t="s">
        <v>4100</v>
      </c>
      <c r="K564" s="1256">
        <v>0</v>
      </c>
      <c r="L564" s="1256">
        <v>10</v>
      </c>
      <c r="M564" s="1272" t="s">
        <v>4101</v>
      </c>
      <c r="N564" s="883" t="s">
        <v>3145</v>
      </c>
      <c r="O564" s="883" t="s">
        <v>3146</v>
      </c>
      <c r="P564" s="795" t="s">
        <v>1457</v>
      </c>
      <c r="Q564" s="752" t="s">
        <v>4020</v>
      </c>
      <c r="R564" s="837">
        <v>500</v>
      </c>
      <c r="S564" s="836"/>
    </row>
    <row r="565" spans="1:19" ht="67.5">
      <c r="A565" s="1255"/>
      <c r="B565" s="1256"/>
      <c r="C565" s="1256"/>
      <c r="D565" s="1258"/>
      <c r="E565" s="1258"/>
      <c r="F565" s="1256"/>
      <c r="G565" s="1256"/>
      <c r="H565" s="1262"/>
      <c r="I565" s="1263"/>
      <c r="J565" s="1266"/>
      <c r="K565" s="1256"/>
      <c r="L565" s="1256"/>
      <c r="M565" s="1273"/>
      <c r="N565" s="883"/>
      <c r="O565" s="883"/>
      <c r="P565" s="795" t="s">
        <v>3147</v>
      </c>
      <c r="Q565" s="752" t="s">
        <v>4020</v>
      </c>
      <c r="R565" s="837">
        <v>7000</v>
      </c>
      <c r="S565" s="836"/>
    </row>
    <row r="566" spans="1:19" ht="45">
      <c r="A566" s="1255"/>
      <c r="B566" s="1256"/>
      <c r="C566" s="1256"/>
      <c r="D566" s="1258"/>
      <c r="E566" s="1258"/>
      <c r="F566" s="1256"/>
      <c r="G566" s="1256"/>
      <c r="H566" s="1262"/>
      <c r="I566" s="1263"/>
      <c r="J566" s="1266"/>
      <c r="K566" s="1256"/>
      <c r="L566" s="1256"/>
      <c r="M566" s="1273"/>
      <c r="N566" s="883"/>
      <c r="O566" s="883"/>
      <c r="P566" s="795" t="s">
        <v>3139</v>
      </c>
      <c r="Q566" s="752" t="s">
        <v>4020</v>
      </c>
      <c r="R566" s="837">
        <v>10</v>
      </c>
      <c r="S566" s="836"/>
    </row>
    <row r="567" spans="1:19" ht="22.5">
      <c r="A567" s="1255"/>
      <c r="B567" s="1256"/>
      <c r="C567" s="1256"/>
      <c r="D567" s="1258"/>
      <c r="E567" s="1258"/>
      <c r="F567" s="1256"/>
      <c r="G567" s="1256"/>
      <c r="H567" s="1262"/>
      <c r="I567" s="1263"/>
      <c r="J567" s="1266"/>
      <c r="K567" s="1256"/>
      <c r="L567" s="1256"/>
      <c r="M567" s="1273"/>
      <c r="N567" s="883"/>
      <c r="O567" s="883"/>
      <c r="P567" s="795" t="s">
        <v>3098</v>
      </c>
      <c r="Q567" s="752" t="s">
        <v>4020</v>
      </c>
      <c r="R567" s="796">
        <v>36</v>
      </c>
      <c r="S567" s="836"/>
    </row>
    <row r="568" spans="1:19" ht="45">
      <c r="A568" s="1255"/>
      <c r="B568" s="1256"/>
      <c r="C568" s="1256"/>
      <c r="D568" s="1259"/>
      <c r="E568" s="1259"/>
      <c r="F568" s="1256"/>
      <c r="G568" s="1256"/>
      <c r="H568" s="1264"/>
      <c r="I568" s="1265"/>
      <c r="J568" s="1266"/>
      <c r="K568" s="1256"/>
      <c r="L568" s="1256"/>
      <c r="M568" s="1274"/>
      <c r="N568" s="883"/>
      <c r="O568" s="883"/>
      <c r="P568" s="795" t="s">
        <v>3137</v>
      </c>
      <c r="Q568" s="752" t="s">
        <v>4020</v>
      </c>
      <c r="R568" s="837">
        <v>14</v>
      </c>
      <c r="S568" s="836"/>
    </row>
    <row r="569" spans="1:19" ht="67.5">
      <c r="A569" s="1255">
        <v>38</v>
      </c>
      <c r="B569" s="1256">
        <v>738434</v>
      </c>
      <c r="C569" s="1256" t="s">
        <v>3144</v>
      </c>
      <c r="D569" s="1257" t="s">
        <v>3148</v>
      </c>
      <c r="E569" s="1257" t="s">
        <v>3149</v>
      </c>
      <c r="F569" s="1256">
        <v>5</v>
      </c>
      <c r="G569" s="1256">
        <v>1</v>
      </c>
      <c r="H569" s="1260" t="s">
        <v>4102</v>
      </c>
      <c r="I569" s="1261"/>
      <c r="J569" s="1266" t="s">
        <v>4103</v>
      </c>
      <c r="K569" s="1256">
        <v>0</v>
      </c>
      <c r="L569" s="1256">
        <v>7</v>
      </c>
      <c r="M569" s="1411" t="s">
        <v>4104</v>
      </c>
      <c r="N569" s="883" t="s">
        <v>3148</v>
      </c>
      <c r="O569" s="883" t="s">
        <v>3149</v>
      </c>
      <c r="P569" s="795" t="s">
        <v>3150</v>
      </c>
      <c r="Q569" s="752" t="s">
        <v>4020</v>
      </c>
      <c r="R569" s="796">
        <v>100</v>
      </c>
      <c r="S569" s="836"/>
    </row>
    <row r="570" spans="1:19" ht="112.5">
      <c r="A570" s="1255"/>
      <c r="B570" s="1256"/>
      <c r="C570" s="1256"/>
      <c r="D570" s="1258"/>
      <c r="E570" s="1258"/>
      <c r="F570" s="1256"/>
      <c r="G570" s="1256"/>
      <c r="H570" s="1262"/>
      <c r="I570" s="1263"/>
      <c r="J570" s="1266"/>
      <c r="K570" s="1256"/>
      <c r="L570" s="1256"/>
      <c r="M570" s="1412"/>
      <c r="N570" s="883"/>
      <c r="O570" s="883"/>
      <c r="P570" s="795" t="s">
        <v>3151</v>
      </c>
      <c r="Q570" s="752" t="s">
        <v>4020</v>
      </c>
      <c r="R570" s="837">
        <v>7000</v>
      </c>
      <c r="S570" s="836"/>
    </row>
    <row r="571" spans="1:19" ht="45">
      <c r="A571" s="1255"/>
      <c r="B571" s="1256"/>
      <c r="C571" s="1256"/>
      <c r="D571" s="1258"/>
      <c r="E571" s="1258"/>
      <c r="F571" s="1256"/>
      <c r="G571" s="1256"/>
      <c r="H571" s="1262"/>
      <c r="I571" s="1263"/>
      <c r="J571" s="1266"/>
      <c r="K571" s="1256"/>
      <c r="L571" s="1256"/>
      <c r="M571" s="1412"/>
      <c r="N571" s="883"/>
      <c r="O571" s="883"/>
      <c r="P571" s="795" t="s">
        <v>3097</v>
      </c>
      <c r="Q571" s="752" t="s">
        <v>4020</v>
      </c>
      <c r="R571" s="837">
        <v>14</v>
      </c>
      <c r="S571" s="836"/>
    </row>
    <row r="572" spans="1:19" ht="22.5">
      <c r="A572" s="1255"/>
      <c r="B572" s="1256"/>
      <c r="C572" s="1256"/>
      <c r="D572" s="1258"/>
      <c r="E572" s="1258"/>
      <c r="F572" s="1256"/>
      <c r="G572" s="1256"/>
      <c r="H572" s="1262"/>
      <c r="I572" s="1263"/>
      <c r="J572" s="1266"/>
      <c r="K572" s="1256"/>
      <c r="L572" s="1256"/>
      <c r="M572" s="1412"/>
      <c r="N572" s="883"/>
      <c r="O572" s="883"/>
      <c r="P572" s="795" t="s">
        <v>3098</v>
      </c>
      <c r="Q572" s="752" t="s">
        <v>4020</v>
      </c>
      <c r="R572" s="796">
        <v>36</v>
      </c>
      <c r="S572" s="836"/>
    </row>
    <row r="573" spans="1:19" ht="45">
      <c r="A573" s="1255"/>
      <c r="B573" s="1256"/>
      <c r="C573" s="1256"/>
      <c r="D573" s="1259"/>
      <c r="E573" s="1259"/>
      <c r="F573" s="1256"/>
      <c r="G573" s="1256"/>
      <c r="H573" s="1264"/>
      <c r="I573" s="1265"/>
      <c r="J573" s="1266"/>
      <c r="K573" s="1256"/>
      <c r="L573" s="1256"/>
      <c r="M573" s="1413"/>
      <c r="N573" s="883"/>
      <c r="O573" s="883"/>
      <c r="P573" s="795" t="s">
        <v>3672</v>
      </c>
      <c r="Q573" s="752" t="s">
        <v>4020</v>
      </c>
      <c r="R573" s="837">
        <v>10</v>
      </c>
      <c r="S573" s="836"/>
    </row>
    <row r="574" spans="1:19" ht="90">
      <c r="A574" s="1255">
        <v>39</v>
      </c>
      <c r="B574" s="1256">
        <v>738433</v>
      </c>
      <c r="C574" s="1256" t="s">
        <v>1386</v>
      </c>
      <c r="D574" s="1257" t="s">
        <v>1387</v>
      </c>
      <c r="E574" s="1257" t="s">
        <v>1388</v>
      </c>
      <c r="F574" s="1256">
        <v>4</v>
      </c>
      <c r="G574" s="1256">
        <v>2</v>
      </c>
      <c r="H574" s="1260" t="s">
        <v>3568</v>
      </c>
      <c r="I574" s="1261"/>
      <c r="J574" s="1266" t="s">
        <v>4105</v>
      </c>
      <c r="K574" s="1256">
        <v>0</v>
      </c>
      <c r="L574" s="1256">
        <v>5</v>
      </c>
      <c r="M574" s="1256" t="s">
        <v>3769</v>
      </c>
      <c r="N574" s="883" t="s">
        <v>1387</v>
      </c>
      <c r="O574" s="883" t="s">
        <v>1388</v>
      </c>
      <c r="P574" s="795" t="s">
        <v>3152</v>
      </c>
      <c r="Q574" s="752" t="s">
        <v>4020</v>
      </c>
      <c r="R574" s="796">
        <v>100</v>
      </c>
      <c r="S574" s="836"/>
    </row>
    <row r="575" spans="1:19" ht="22.5">
      <c r="A575" s="1255"/>
      <c r="B575" s="1256"/>
      <c r="C575" s="1256"/>
      <c r="D575" s="1259"/>
      <c r="E575" s="1259"/>
      <c r="F575" s="1256"/>
      <c r="G575" s="1256"/>
      <c r="H575" s="1264"/>
      <c r="I575" s="1265"/>
      <c r="J575" s="1266"/>
      <c r="K575" s="1256"/>
      <c r="L575" s="1256"/>
      <c r="M575" s="1256"/>
      <c r="N575" s="883"/>
      <c r="O575" s="883"/>
      <c r="P575" s="795" t="s">
        <v>3153</v>
      </c>
      <c r="Q575" s="752" t="s">
        <v>4020</v>
      </c>
      <c r="R575" s="837">
        <v>150</v>
      </c>
      <c r="S575" s="836"/>
    </row>
    <row r="576" spans="1:19" ht="90">
      <c r="A576" s="1255">
        <v>40</v>
      </c>
      <c r="B576" s="1256">
        <v>738433</v>
      </c>
      <c r="C576" s="1256" t="s">
        <v>1386</v>
      </c>
      <c r="D576" s="1257" t="s">
        <v>1390</v>
      </c>
      <c r="E576" s="1257" t="s">
        <v>1391</v>
      </c>
      <c r="F576" s="1256">
        <v>4</v>
      </c>
      <c r="G576" s="1256">
        <v>0</v>
      </c>
      <c r="H576" s="1260" t="s">
        <v>3568</v>
      </c>
      <c r="I576" s="1261"/>
      <c r="J576" s="1266" t="s">
        <v>4106</v>
      </c>
      <c r="K576" s="1256">
        <v>0</v>
      </c>
      <c r="L576" s="1256">
        <v>4</v>
      </c>
      <c r="M576" s="1256" t="s">
        <v>4107</v>
      </c>
      <c r="N576" s="883" t="s">
        <v>1390</v>
      </c>
      <c r="O576" s="883" t="s">
        <v>1391</v>
      </c>
      <c r="P576" s="795" t="s">
        <v>1392</v>
      </c>
      <c r="Q576" s="752" t="s">
        <v>4020</v>
      </c>
      <c r="R576" s="837">
        <v>500</v>
      </c>
      <c r="S576" s="836"/>
    </row>
    <row r="577" spans="1:19" ht="45">
      <c r="A577" s="1255"/>
      <c r="B577" s="1256"/>
      <c r="C577" s="1256"/>
      <c r="D577" s="1258"/>
      <c r="E577" s="1258"/>
      <c r="F577" s="1256"/>
      <c r="G577" s="1256"/>
      <c r="H577" s="1262"/>
      <c r="I577" s="1263"/>
      <c r="J577" s="1266"/>
      <c r="K577" s="1256"/>
      <c r="L577" s="1256"/>
      <c r="M577" s="1256"/>
      <c r="N577" s="883"/>
      <c r="O577" s="883"/>
      <c r="P577" s="795" t="s">
        <v>3154</v>
      </c>
      <c r="Q577" s="752" t="s">
        <v>4020</v>
      </c>
      <c r="R577" s="837">
        <v>500</v>
      </c>
      <c r="S577" s="836"/>
    </row>
    <row r="578" spans="1:19" ht="45">
      <c r="A578" s="1255"/>
      <c r="B578" s="1256"/>
      <c r="C578" s="1256"/>
      <c r="D578" s="1259"/>
      <c r="E578" s="1259"/>
      <c r="F578" s="1256"/>
      <c r="G578" s="1256"/>
      <c r="H578" s="1264"/>
      <c r="I578" s="1265"/>
      <c r="J578" s="1266"/>
      <c r="K578" s="1256"/>
      <c r="L578" s="1256"/>
      <c r="M578" s="1256"/>
      <c r="N578" s="883"/>
      <c r="O578" s="883"/>
      <c r="P578" s="795" t="s">
        <v>3155</v>
      </c>
      <c r="Q578" s="752" t="s">
        <v>4020</v>
      </c>
      <c r="R578" s="837">
        <v>10</v>
      </c>
      <c r="S578" s="836"/>
    </row>
    <row r="579" spans="1:19" ht="90">
      <c r="A579" s="1255">
        <v>41</v>
      </c>
      <c r="B579" s="1256">
        <v>739578</v>
      </c>
      <c r="C579" s="1256" t="s">
        <v>1394</v>
      </c>
      <c r="D579" s="1257" t="s">
        <v>1395</v>
      </c>
      <c r="E579" s="1257" t="s">
        <v>1395</v>
      </c>
      <c r="F579" s="1256">
        <v>5</v>
      </c>
      <c r="G579" s="1256">
        <v>2</v>
      </c>
      <c r="H579" s="1260" t="s">
        <v>3770</v>
      </c>
      <c r="I579" s="1261"/>
      <c r="J579" s="1266" t="s">
        <v>3771</v>
      </c>
      <c r="K579" s="1256">
        <v>0</v>
      </c>
      <c r="L579" s="1256">
        <v>4</v>
      </c>
      <c r="M579" s="1256" t="s">
        <v>3772</v>
      </c>
      <c r="N579" s="883" t="s">
        <v>1395</v>
      </c>
      <c r="O579" s="883" t="s">
        <v>1395</v>
      </c>
      <c r="P579" s="795" t="s">
        <v>1396</v>
      </c>
      <c r="Q579" s="752" t="s">
        <v>4020</v>
      </c>
      <c r="R579" s="837">
        <v>500</v>
      </c>
      <c r="S579" s="836"/>
    </row>
    <row r="580" spans="1:19" ht="67.5">
      <c r="A580" s="1255"/>
      <c r="B580" s="1256"/>
      <c r="C580" s="1256"/>
      <c r="D580" s="1258"/>
      <c r="E580" s="1258"/>
      <c r="F580" s="1256"/>
      <c r="G580" s="1256"/>
      <c r="H580" s="1262"/>
      <c r="I580" s="1263"/>
      <c r="J580" s="1266"/>
      <c r="K580" s="1256"/>
      <c r="L580" s="1256"/>
      <c r="M580" s="1256"/>
      <c r="N580" s="883"/>
      <c r="O580" s="883"/>
      <c r="P580" s="795" t="s">
        <v>3156</v>
      </c>
      <c r="Q580" s="752" t="s">
        <v>4020</v>
      </c>
      <c r="R580" s="837">
        <v>7000</v>
      </c>
      <c r="S580" s="836"/>
    </row>
    <row r="581" spans="1:19" ht="67.5">
      <c r="A581" s="1255"/>
      <c r="B581" s="1256"/>
      <c r="C581" s="1256"/>
      <c r="D581" s="1258"/>
      <c r="E581" s="1258"/>
      <c r="F581" s="1256"/>
      <c r="G581" s="1256"/>
      <c r="H581" s="1262"/>
      <c r="I581" s="1263"/>
      <c r="J581" s="1266"/>
      <c r="K581" s="1256"/>
      <c r="L581" s="1256"/>
      <c r="M581" s="1256"/>
      <c r="N581" s="883"/>
      <c r="O581" s="883"/>
      <c r="P581" s="795" t="s">
        <v>3157</v>
      </c>
      <c r="Q581" s="752" t="s">
        <v>4020</v>
      </c>
      <c r="R581" s="796">
        <v>100</v>
      </c>
      <c r="S581" s="836"/>
    </row>
    <row r="582" spans="1:19" ht="67.5">
      <c r="A582" s="1255"/>
      <c r="B582" s="1256"/>
      <c r="C582" s="1256"/>
      <c r="D582" s="1259"/>
      <c r="E582" s="1259"/>
      <c r="F582" s="1256"/>
      <c r="G582" s="1256"/>
      <c r="H582" s="1264"/>
      <c r="I582" s="1265"/>
      <c r="J582" s="1266"/>
      <c r="K582" s="1256"/>
      <c r="L582" s="1256"/>
      <c r="M582" s="1256"/>
      <c r="N582" s="883"/>
      <c r="O582" s="883"/>
      <c r="P582" s="795" t="s">
        <v>3158</v>
      </c>
      <c r="Q582" s="752" t="s">
        <v>4020</v>
      </c>
      <c r="R582" s="837">
        <v>14</v>
      </c>
      <c r="S582" s="836"/>
    </row>
    <row r="583" spans="1:19" ht="22.5">
      <c r="A583" s="1255">
        <v>42</v>
      </c>
      <c r="B583" s="1256">
        <v>742262</v>
      </c>
      <c r="C583" s="1256" t="s">
        <v>3159</v>
      </c>
      <c r="D583" s="1257" t="s">
        <v>3160</v>
      </c>
      <c r="E583" s="1257" t="s">
        <v>3161</v>
      </c>
      <c r="F583" s="1256">
        <v>4</v>
      </c>
      <c r="G583" s="1256">
        <v>3</v>
      </c>
      <c r="H583" s="1260" t="s">
        <v>3568</v>
      </c>
      <c r="I583" s="1261"/>
      <c r="J583" s="1266" t="s">
        <v>3162</v>
      </c>
      <c r="K583" s="1256"/>
      <c r="L583" s="1256">
        <v>9</v>
      </c>
      <c r="M583" s="1256" t="s">
        <v>4016</v>
      </c>
      <c r="N583" s="883" t="s">
        <v>3160</v>
      </c>
      <c r="O583" s="883" t="s">
        <v>3161</v>
      </c>
      <c r="P583" s="795" t="s">
        <v>3163</v>
      </c>
      <c r="Q583" s="752" t="s">
        <v>4020</v>
      </c>
      <c r="R583" s="837">
        <v>200</v>
      </c>
      <c r="S583" s="836"/>
    </row>
    <row r="584" spans="1:19" ht="45">
      <c r="A584" s="1255"/>
      <c r="B584" s="1256"/>
      <c r="C584" s="1256"/>
      <c r="D584" s="1258"/>
      <c r="E584" s="1258"/>
      <c r="F584" s="1256"/>
      <c r="G584" s="1256"/>
      <c r="H584" s="1262"/>
      <c r="I584" s="1263"/>
      <c r="J584" s="1266"/>
      <c r="K584" s="1256"/>
      <c r="L584" s="1256"/>
      <c r="M584" s="1256"/>
      <c r="N584" s="883"/>
      <c r="O584" s="883"/>
      <c r="P584" s="795" t="s">
        <v>3164</v>
      </c>
      <c r="Q584" s="752" t="s">
        <v>4020</v>
      </c>
      <c r="R584" s="796">
        <v>100</v>
      </c>
      <c r="S584" s="836"/>
    </row>
    <row r="585" spans="1:19" ht="67.5">
      <c r="A585" s="1255"/>
      <c r="B585" s="1256"/>
      <c r="C585" s="1256"/>
      <c r="D585" s="1259"/>
      <c r="E585" s="1259"/>
      <c r="F585" s="1256"/>
      <c r="G585" s="1256"/>
      <c r="H585" s="1264"/>
      <c r="I585" s="1265"/>
      <c r="J585" s="1266"/>
      <c r="K585" s="1256"/>
      <c r="L585" s="1256"/>
      <c r="M585" s="1256"/>
      <c r="N585" s="883"/>
      <c r="O585" s="883"/>
      <c r="P585" s="795" t="s">
        <v>3165</v>
      </c>
      <c r="Q585" s="752" t="s">
        <v>4020</v>
      </c>
      <c r="R585" s="837">
        <v>7000</v>
      </c>
      <c r="S585" s="836"/>
    </row>
    <row r="586" spans="1:19" ht="90">
      <c r="A586" s="1255">
        <v>43</v>
      </c>
      <c r="B586" s="1256">
        <v>744948</v>
      </c>
      <c r="C586" s="1256" t="s">
        <v>3166</v>
      </c>
      <c r="D586" s="1257" t="s">
        <v>3167</v>
      </c>
      <c r="E586" s="1257" t="s">
        <v>3167</v>
      </c>
      <c r="F586" s="1256">
        <v>8</v>
      </c>
      <c r="G586" s="1256">
        <v>2</v>
      </c>
      <c r="H586" s="1260" t="s">
        <v>4108</v>
      </c>
      <c r="I586" s="1261"/>
      <c r="J586" s="1266" t="s">
        <v>4109</v>
      </c>
      <c r="K586" s="1256">
        <v>0</v>
      </c>
      <c r="L586" s="1256">
        <v>8</v>
      </c>
      <c r="M586" s="1256" t="s">
        <v>4110</v>
      </c>
      <c r="N586" s="883" t="s">
        <v>3167</v>
      </c>
      <c r="O586" s="883" t="s">
        <v>3167</v>
      </c>
      <c r="P586" s="795" t="s">
        <v>3168</v>
      </c>
      <c r="Q586" s="752" t="s">
        <v>4020</v>
      </c>
      <c r="R586" s="837">
        <v>500</v>
      </c>
      <c r="S586" s="836"/>
    </row>
    <row r="587" spans="1:19" ht="90">
      <c r="A587" s="1255"/>
      <c r="B587" s="1256"/>
      <c r="C587" s="1256"/>
      <c r="D587" s="1258"/>
      <c r="E587" s="1258"/>
      <c r="F587" s="1256"/>
      <c r="G587" s="1256"/>
      <c r="H587" s="1262"/>
      <c r="I587" s="1263"/>
      <c r="J587" s="1266"/>
      <c r="K587" s="1256"/>
      <c r="L587" s="1256"/>
      <c r="M587" s="1256"/>
      <c r="N587" s="883"/>
      <c r="O587" s="883"/>
      <c r="P587" s="795" t="s">
        <v>3169</v>
      </c>
      <c r="Q587" s="752" t="s">
        <v>4020</v>
      </c>
      <c r="R587" s="837">
        <v>100</v>
      </c>
      <c r="S587" s="836"/>
    </row>
    <row r="588" spans="1:19" ht="67.5">
      <c r="A588" s="1255"/>
      <c r="B588" s="1256"/>
      <c r="C588" s="1256"/>
      <c r="D588" s="1258"/>
      <c r="E588" s="1258"/>
      <c r="F588" s="1256"/>
      <c r="G588" s="1256"/>
      <c r="H588" s="1262"/>
      <c r="I588" s="1263"/>
      <c r="J588" s="1266"/>
      <c r="K588" s="1256"/>
      <c r="L588" s="1256"/>
      <c r="M588" s="1256"/>
      <c r="N588" s="883"/>
      <c r="O588" s="883"/>
      <c r="P588" s="795" t="s">
        <v>3170</v>
      </c>
      <c r="Q588" s="752" t="s">
        <v>4020</v>
      </c>
      <c r="R588" s="837">
        <v>100</v>
      </c>
      <c r="S588" s="836"/>
    </row>
    <row r="589" spans="1:19" ht="67.5">
      <c r="A589" s="1255"/>
      <c r="B589" s="1256"/>
      <c r="C589" s="1256"/>
      <c r="D589" s="1259"/>
      <c r="E589" s="1259"/>
      <c r="F589" s="1256"/>
      <c r="G589" s="1256"/>
      <c r="H589" s="1264"/>
      <c r="I589" s="1265"/>
      <c r="J589" s="1266"/>
      <c r="K589" s="1256"/>
      <c r="L589" s="1256"/>
      <c r="M589" s="1256"/>
      <c r="N589" s="883"/>
      <c r="O589" s="883"/>
      <c r="P589" s="795" t="s">
        <v>3171</v>
      </c>
      <c r="Q589" s="752" t="s">
        <v>4020</v>
      </c>
      <c r="R589" s="837">
        <v>10</v>
      </c>
      <c r="S589" s="836"/>
    </row>
    <row r="590" spans="1:19" ht="67.5">
      <c r="A590" s="1255">
        <v>44</v>
      </c>
      <c r="B590" s="1256">
        <v>742262</v>
      </c>
      <c r="C590" s="1256" t="s">
        <v>3159</v>
      </c>
      <c r="D590" s="1257" t="s">
        <v>3172</v>
      </c>
      <c r="E590" s="1257" t="s">
        <v>3172</v>
      </c>
      <c r="F590" s="1256">
        <v>4</v>
      </c>
      <c r="G590" s="1256">
        <v>2</v>
      </c>
      <c r="H590" s="1260" t="s">
        <v>4111</v>
      </c>
      <c r="I590" s="1261"/>
      <c r="J590" s="1266" t="s">
        <v>3173</v>
      </c>
      <c r="K590" s="1256">
        <v>0</v>
      </c>
      <c r="L590" s="1256">
        <v>7</v>
      </c>
      <c r="M590" s="1267" t="s">
        <v>4112</v>
      </c>
      <c r="N590" s="883" t="s">
        <v>3172</v>
      </c>
      <c r="O590" s="883" t="s">
        <v>3172</v>
      </c>
      <c r="P590" s="795" t="s">
        <v>1457</v>
      </c>
      <c r="Q590" s="752" t="s">
        <v>4020</v>
      </c>
      <c r="R590" s="837">
        <v>500</v>
      </c>
      <c r="S590" s="836"/>
    </row>
    <row r="591" spans="1:19" ht="67.5">
      <c r="A591" s="1255"/>
      <c r="B591" s="1256"/>
      <c r="C591" s="1256"/>
      <c r="D591" s="1258"/>
      <c r="E591" s="1258"/>
      <c r="F591" s="1256"/>
      <c r="G591" s="1256"/>
      <c r="H591" s="1262"/>
      <c r="I591" s="1263"/>
      <c r="J591" s="1266"/>
      <c r="K591" s="1256"/>
      <c r="L591" s="1256"/>
      <c r="M591" s="1267"/>
      <c r="N591" s="883"/>
      <c r="O591" s="883"/>
      <c r="P591" s="795" t="s">
        <v>3174</v>
      </c>
      <c r="Q591" s="752" t="s">
        <v>4020</v>
      </c>
      <c r="R591" s="796">
        <v>36</v>
      </c>
      <c r="S591" s="836"/>
    </row>
    <row r="592" spans="1:19" ht="67.5">
      <c r="A592" s="1255"/>
      <c r="B592" s="1256"/>
      <c r="C592" s="1256"/>
      <c r="D592" s="1258"/>
      <c r="E592" s="1258"/>
      <c r="F592" s="1256"/>
      <c r="G592" s="1256"/>
      <c r="H592" s="1262"/>
      <c r="I592" s="1263"/>
      <c r="J592" s="1266"/>
      <c r="K592" s="1256"/>
      <c r="L592" s="1256"/>
      <c r="M592" s="1267"/>
      <c r="N592" s="883"/>
      <c r="O592" s="883"/>
      <c r="P592" s="795" t="s">
        <v>3175</v>
      </c>
      <c r="Q592" s="752" t="s">
        <v>4020</v>
      </c>
      <c r="R592" s="837">
        <v>7000</v>
      </c>
      <c r="S592" s="836"/>
    </row>
    <row r="593" spans="1:19" ht="67.5">
      <c r="A593" s="1255"/>
      <c r="B593" s="1256"/>
      <c r="C593" s="1256"/>
      <c r="D593" s="1258"/>
      <c r="E593" s="1258"/>
      <c r="F593" s="1256"/>
      <c r="G593" s="1256"/>
      <c r="H593" s="1262"/>
      <c r="I593" s="1263"/>
      <c r="J593" s="1266"/>
      <c r="K593" s="1256"/>
      <c r="L593" s="1256"/>
      <c r="M593" s="1267"/>
      <c r="N593" s="883"/>
      <c r="O593" s="883"/>
      <c r="P593" s="795" t="s">
        <v>3176</v>
      </c>
      <c r="Q593" s="752" t="s">
        <v>4020</v>
      </c>
      <c r="R593" s="837">
        <v>10</v>
      </c>
      <c r="S593" s="836"/>
    </row>
    <row r="594" spans="1:19" ht="67.5">
      <c r="A594" s="1255"/>
      <c r="B594" s="1256"/>
      <c r="C594" s="1256"/>
      <c r="D594" s="1259"/>
      <c r="E594" s="1259"/>
      <c r="F594" s="1256"/>
      <c r="G594" s="1256"/>
      <c r="H594" s="1264"/>
      <c r="I594" s="1265"/>
      <c r="J594" s="1266"/>
      <c r="K594" s="1256"/>
      <c r="L594" s="1256"/>
      <c r="M594" s="1267"/>
      <c r="N594" s="883"/>
      <c r="O594" s="883"/>
      <c r="P594" s="795" t="s">
        <v>3177</v>
      </c>
      <c r="Q594" s="752" t="s">
        <v>4020</v>
      </c>
      <c r="R594" s="837">
        <v>14</v>
      </c>
      <c r="S594" s="836"/>
    </row>
    <row r="595" spans="1:19" ht="45">
      <c r="A595" s="1255">
        <v>45</v>
      </c>
      <c r="B595" s="1256">
        <v>739444</v>
      </c>
      <c r="C595" s="1256" t="s">
        <v>1371</v>
      </c>
      <c r="D595" s="1257" t="s">
        <v>3178</v>
      </c>
      <c r="E595" s="1257" t="s">
        <v>3178</v>
      </c>
      <c r="F595" s="1256">
        <v>5</v>
      </c>
      <c r="G595" s="1256">
        <v>2</v>
      </c>
      <c r="H595" s="1260" t="s">
        <v>3679</v>
      </c>
      <c r="I595" s="1261"/>
      <c r="J595" s="1266" t="s">
        <v>3179</v>
      </c>
      <c r="K595" s="1256">
        <v>0</v>
      </c>
      <c r="L595" s="1256">
        <v>6</v>
      </c>
      <c r="M595" s="1256" t="s">
        <v>4113</v>
      </c>
      <c r="N595" s="883" t="s">
        <v>3178</v>
      </c>
      <c r="O595" s="883" t="s">
        <v>3178</v>
      </c>
      <c r="P595" s="795" t="s">
        <v>3796</v>
      </c>
      <c r="Q595" s="752" t="s">
        <v>4020</v>
      </c>
      <c r="R595" s="837">
        <v>10</v>
      </c>
      <c r="S595" s="836"/>
    </row>
    <row r="596" spans="1:19" ht="22.5">
      <c r="A596" s="1255"/>
      <c r="B596" s="1256"/>
      <c r="C596" s="1256"/>
      <c r="D596" s="1258"/>
      <c r="E596" s="1258"/>
      <c r="F596" s="1256"/>
      <c r="G596" s="1256"/>
      <c r="H596" s="1262"/>
      <c r="I596" s="1263"/>
      <c r="J596" s="1266"/>
      <c r="K596" s="1256"/>
      <c r="L596" s="1256"/>
      <c r="M596" s="1256"/>
      <c r="N596" s="883"/>
      <c r="O596" s="883"/>
      <c r="P596" s="795" t="s">
        <v>3103</v>
      </c>
      <c r="Q596" s="752" t="s">
        <v>4020</v>
      </c>
      <c r="R596" s="796">
        <v>36</v>
      </c>
      <c r="S596" s="836"/>
    </row>
    <row r="597" spans="1:19" ht="45">
      <c r="A597" s="1255"/>
      <c r="B597" s="1256"/>
      <c r="C597" s="1256"/>
      <c r="D597" s="1258"/>
      <c r="E597" s="1258"/>
      <c r="F597" s="1256"/>
      <c r="G597" s="1256"/>
      <c r="H597" s="1262"/>
      <c r="I597" s="1263"/>
      <c r="J597" s="1266"/>
      <c r="K597" s="1256"/>
      <c r="L597" s="1256"/>
      <c r="M597" s="1256"/>
      <c r="N597" s="883"/>
      <c r="O597" s="883"/>
      <c r="P597" s="795" t="s">
        <v>3097</v>
      </c>
      <c r="Q597" s="752" t="s">
        <v>4020</v>
      </c>
      <c r="R597" s="837">
        <v>14</v>
      </c>
      <c r="S597" s="836"/>
    </row>
    <row r="598" spans="1:19" ht="45">
      <c r="A598" s="1255"/>
      <c r="B598" s="1256"/>
      <c r="C598" s="1256"/>
      <c r="D598" s="1258"/>
      <c r="E598" s="1258"/>
      <c r="F598" s="1256"/>
      <c r="G598" s="1256"/>
      <c r="H598" s="1262"/>
      <c r="I598" s="1263"/>
      <c r="J598" s="1266"/>
      <c r="K598" s="1256"/>
      <c r="L598" s="1256"/>
      <c r="M598" s="1256"/>
      <c r="N598" s="883"/>
      <c r="O598" s="883"/>
      <c r="P598" s="795" t="s">
        <v>3180</v>
      </c>
      <c r="Q598" s="752" t="s">
        <v>4020</v>
      </c>
      <c r="R598" s="837">
        <v>7</v>
      </c>
      <c r="S598" s="836"/>
    </row>
    <row r="599" spans="1:19" ht="45">
      <c r="A599" s="1255"/>
      <c r="B599" s="1256"/>
      <c r="C599" s="1256"/>
      <c r="D599" s="1259"/>
      <c r="E599" s="1259"/>
      <c r="F599" s="1256"/>
      <c r="G599" s="1256"/>
      <c r="H599" s="1264"/>
      <c r="I599" s="1265"/>
      <c r="J599" s="1266"/>
      <c r="K599" s="1256"/>
      <c r="L599" s="1256"/>
      <c r="M599" s="1256"/>
      <c r="N599" s="883"/>
      <c r="O599" s="883"/>
      <c r="P599" s="795" t="s">
        <v>3181</v>
      </c>
      <c r="Q599" s="752" t="s">
        <v>4020</v>
      </c>
      <c r="R599" s="837">
        <v>200</v>
      </c>
      <c r="S599" s="836"/>
    </row>
    <row r="600" spans="1:19" ht="22.5">
      <c r="A600" s="1268">
        <v>46</v>
      </c>
      <c r="B600" s="1256">
        <v>740829</v>
      </c>
      <c r="C600" s="1256" t="s">
        <v>294</v>
      </c>
      <c r="D600" s="1257" t="s">
        <v>1397</v>
      </c>
      <c r="E600" s="1257" t="s">
        <v>1398</v>
      </c>
      <c r="F600" s="1256">
        <v>4</v>
      </c>
      <c r="G600" s="1256">
        <v>1</v>
      </c>
      <c r="H600" s="1260" t="s">
        <v>4114</v>
      </c>
      <c r="I600" s="1261"/>
      <c r="J600" s="1266" t="s">
        <v>3774</v>
      </c>
      <c r="K600" s="1256">
        <v>0</v>
      </c>
      <c r="L600" s="1256">
        <v>4</v>
      </c>
      <c r="M600" s="1256" t="s">
        <v>4115</v>
      </c>
      <c r="N600" s="883" t="s">
        <v>1397</v>
      </c>
      <c r="O600" s="883" t="s">
        <v>1398</v>
      </c>
      <c r="P600" s="795" t="s">
        <v>3163</v>
      </c>
      <c r="Q600" s="752" t="s">
        <v>4020</v>
      </c>
      <c r="R600" s="837">
        <v>50</v>
      </c>
      <c r="S600" s="836"/>
    </row>
    <row r="601" spans="1:19" ht="67.5">
      <c r="A601" s="1269"/>
      <c r="B601" s="1256"/>
      <c r="C601" s="1256"/>
      <c r="D601" s="1258"/>
      <c r="E601" s="1258"/>
      <c r="F601" s="1256"/>
      <c r="G601" s="1256"/>
      <c r="H601" s="1262"/>
      <c r="I601" s="1263"/>
      <c r="J601" s="1266"/>
      <c r="K601" s="1256"/>
      <c r="L601" s="1256"/>
      <c r="M601" s="1256"/>
      <c r="N601" s="883"/>
      <c r="O601" s="883"/>
      <c r="P601" s="795" t="s">
        <v>1399</v>
      </c>
      <c r="Q601" s="752" t="s">
        <v>4020</v>
      </c>
      <c r="R601" s="837">
        <v>200</v>
      </c>
      <c r="S601" s="836"/>
    </row>
    <row r="602" spans="1:19" ht="45">
      <c r="A602" s="1269"/>
      <c r="B602" s="1256"/>
      <c r="C602" s="1256"/>
      <c r="D602" s="1258"/>
      <c r="E602" s="1258"/>
      <c r="F602" s="1256"/>
      <c r="G602" s="1256"/>
      <c r="H602" s="1262"/>
      <c r="I602" s="1263"/>
      <c r="J602" s="1266"/>
      <c r="K602" s="1256"/>
      <c r="L602" s="1256"/>
      <c r="M602" s="1256"/>
      <c r="N602" s="883"/>
      <c r="O602" s="883"/>
      <c r="P602" s="795" t="s">
        <v>1400</v>
      </c>
      <c r="Q602" s="752" t="s">
        <v>4020</v>
      </c>
      <c r="R602" s="837">
        <v>200</v>
      </c>
      <c r="S602" s="836"/>
    </row>
    <row r="603" spans="1:19" ht="45">
      <c r="A603" s="1270"/>
      <c r="B603" s="1256"/>
      <c r="C603" s="1256"/>
      <c r="D603" s="1259"/>
      <c r="E603" s="1259"/>
      <c r="F603" s="1256"/>
      <c r="G603" s="1256"/>
      <c r="H603" s="1264"/>
      <c r="I603" s="1265"/>
      <c r="J603" s="1266"/>
      <c r="K603" s="1256"/>
      <c r="L603" s="1256"/>
      <c r="M603" s="1256"/>
      <c r="N603" s="883"/>
      <c r="O603" s="883"/>
      <c r="P603" s="795" t="s">
        <v>3182</v>
      </c>
      <c r="Q603" s="752" t="s">
        <v>4020</v>
      </c>
      <c r="R603" s="796">
        <v>100</v>
      </c>
      <c r="S603" s="836"/>
    </row>
    <row r="604" spans="1:19" ht="45">
      <c r="A604" s="1255">
        <v>47</v>
      </c>
      <c r="B604" s="1256">
        <v>739578</v>
      </c>
      <c r="C604" s="1256" t="s">
        <v>1393</v>
      </c>
      <c r="D604" s="1257" t="s">
        <v>1367</v>
      </c>
      <c r="E604" s="1257" t="s">
        <v>1367</v>
      </c>
      <c r="F604" s="1256">
        <v>4</v>
      </c>
      <c r="G604" s="1256">
        <v>2</v>
      </c>
      <c r="H604" s="1260" t="s">
        <v>4078</v>
      </c>
      <c r="I604" s="1261"/>
      <c r="J604" s="1266" t="s">
        <v>3183</v>
      </c>
      <c r="K604" s="1256">
        <v>0</v>
      </c>
      <c r="L604" s="1256">
        <v>4</v>
      </c>
      <c r="M604" s="1256" t="s">
        <v>4116</v>
      </c>
      <c r="N604" s="883" t="s">
        <v>1367</v>
      </c>
      <c r="O604" s="883" t="s">
        <v>1367</v>
      </c>
      <c r="P604" s="795" t="s">
        <v>3185</v>
      </c>
      <c r="Q604" s="752" t="s">
        <v>4020</v>
      </c>
      <c r="R604" s="837">
        <v>10</v>
      </c>
      <c r="S604" s="836"/>
    </row>
    <row r="605" spans="1:19" ht="22.5">
      <c r="A605" s="1255"/>
      <c r="B605" s="1256"/>
      <c r="C605" s="1256"/>
      <c r="D605" s="1258"/>
      <c r="E605" s="1258"/>
      <c r="F605" s="1256"/>
      <c r="G605" s="1256"/>
      <c r="H605" s="1262"/>
      <c r="I605" s="1263"/>
      <c r="J605" s="1266"/>
      <c r="K605" s="1256"/>
      <c r="L605" s="1256"/>
      <c r="M605" s="1256"/>
      <c r="N605" s="883"/>
      <c r="O605" s="883"/>
      <c r="P605" s="795" t="s">
        <v>3103</v>
      </c>
      <c r="Q605" s="752" t="s">
        <v>4020</v>
      </c>
      <c r="R605" s="796">
        <v>36</v>
      </c>
      <c r="S605" s="836"/>
    </row>
    <row r="606" spans="1:19" ht="67.5">
      <c r="A606" s="1255"/>
      <c r="B606" s="1256"/>
      <c r="C606" s="1256"/>
      <c r="D606" s="1259"/>
      <c r="E606" s="1259"/>
      <c r="F606" s="1256"/>
      <c r="G606" s="1256"/>
      <c r="H606" s="1264"/>
      <c r="I606" s="1265"/>
      <c r="J606" s="1266"/>
      <c r="K606" s="1256"/>
      <c r="L606" s="1256"/>
      <c r="M606" s="1256"/>
      <c r="N606" s="883"/>
      <c r="O606" s="883"/>
      <c r="P606" s="795" t="s">
        <v>3157</v>
      </c>
      <c r="Q606" s="752" t="s">
        <v>4020</v>
      </c>
      <c r="R606" s="796">
        <v>100</v>
      </c>
      <c r="S606" s="836"/>
    </row>
    <row r="607" spans="1:19" ht="22.5">
      <c r="A607" s="1255">
        <v>48</v>
      </c>
      <c r="B607" s="1256">
        <v>742732</v>
      </c>
      <c r="C607" s="1256" t="s">
        <v>3186</v>
      </c>
      <c r="D607" s="1257" t="s">
        <v>1428</v>
      </c>
      <c r="E607" s="1257" t="s">
        <v>1428</v>
      </c>
      <c r="F607" s="1256">
        <v>3</v>
      </c>
      <c r="G607" s="1256">
        <v>1</v>
      </c>
      <c r="H607" s="1260" t="s">
        <v>3533</v>
      </c>
      <c r="I607" s="1261"/>
      <c r="J607" s="1266" t="s">
        <v>3187</v>
      </c>
      <c r="K607" s="1256">
        <v>0</v>
      </c>
      <c r="L607" s="1256">
        <v>3</v>
      </c>
      <c r="M607" s="1267" t="s">
        <v>4117</v>
      </c>
      <c r="N607" s="883" t="s">
        <v>1428</v>
      </c>
      <c r="O607" s="883" t="s">
        <v>1428</v>
      </c>
      <c r="P607" s="795" t="s">
        <v>1419</v>
      </c>
      <c r="Q607" s="752" t="s">
        <v>4020</v>
      </c>
      <c r="R607" s="837">
        <v>1500</v>
      </c>
      <c r="S607" s="836"/>
    </row>
    <row r="608" spans="1:19" ht="45">
      <c r="A608" s="1255"/>
      <c r="B608" s="1256"/>
      <c r="C608" s="1256"/>
      <c r="D608" s="1258"/>
      <c r="E608" s="1258"/>
      <c r="F608" s="1256"/>
      <c r="G608" s="1256"/>
      <c r="H608" s="1262"/>
      <c r="I608" s="1263"/>
      <c r="J608" s="1266"/>
      <c r="K608" s="1256"/>
      <c r="L608" s="1256"/>
      <c r="M608" s="1267"/>
      <c r="N608" s="883"/>
      <c r="O608" s="883"/>
      <c r="P608" s="795" t="s">
        <v>3188</v>
      </c>
      <c r="Q608" s="752" t="s">
        <v>4020</v>
      </c>
      <c r="R608" s="796">
        <v>100</v>
      </c>
      <c r="S608" s="836"/>
    </row>
    <row r="609" spans="1:19" ht="45">
      <c r="A609" s="1255"/>
      <c r="B609" s="1256"/>
      <c r="C609" s="1256"/>
      <c r="D609" s="1259"/>
      <c r="E609" s="1259"/>
      <c r="F609" s="1256"/>
      <c r="G609" s="1256"/>
      <c r="H609" s="1264"/>
      <c r="I609" s="1265"/>
      <c r="J609" s="1266"/>
      <c r="K609" s="1256"/>
      <c r="L609" s="1256"/>
      <c r="M609" s="1267"/>
      <c r="N609" s="883"/>
      <c r="O609" s="883"/>
      <c r="P609" s="795" t="s">
        <v>3189</v>
      </c>
      <c r="Q609" s="752" t="s">
        <v>4020</v>
      </c>
      <c r="R609" s="837">
        <v>10</v>
      </c>
      <c r="S609" s="836"/>
    </row>
    <row r="610" spans="1:19" ht="67.5">
      <c r="A610" s="1255">
        <v>49</v>
      </c>
      <c r="B610" s="1256">
        <v>738433</v>
      </c>
      <c r="C610" s="1256" t="s">
        <v>189</v>
      </c>
      <c r="D610" s="1257" t="s">
        <v>3190</v>
      </c>
      <c r="E610" s="1257" t="s">
        <v>3191</v>
      </c>
      <c r="F610" s="1256">
        <v>3</v>
      </c>
      <c r="G610" s="1256">
        <v>1</v>
      </c>
      <c r="H610" s="1260" t="s">
        <v>3533</v>
      </c>
      <c r="I610" s="1261"/>
      <c r="J610" s="1266" t="s">
        <v>3192</v>
      </c>
      <c r="K610" s="1256">
        <v>0</v>
      </c>
      <c r="L610" s="1256">
        <v>3</v>
      </c>
      <c r="M610" s="1267" t="s">
        <v>3184</v>
      </c>
      <c r="N610" s="883" t="s">
        <v>3190</v>
      </c>
      <c r="O610" s="883" t="s">
        <v>3191</v>
      </c>
      <c r="P610" s="795" t="s">
        <v>3193</v>
      </c>
      <c r="Q610" s="752" t="s">
        <v>4020</v>
      </c>
      <c r="R610" s="796">
        <v>100</v>
      </c>
      <c r="S610" s="836"/>
    </row>
    <row r="611" spans="1:19" ht="135">
      <c r="A611" s="1255"/>
      <c r="B611" s="1256"/>
      <c r="C611" s="1256"/>
      <c r="D611" s="1258"/>
      <c r="E611" s="1258"/>
      <c r="F611" s="1256"/>
      <c r="G611" s="1256"/>
      <c r="H611" s="1262"/>
      <c r="I611" s="1263"/>
      <c r="J611" s="1266"/>
      <c r="K611" s="1256"/>
      <c r="L611" s="1256"/>
      <c r="M611" s="1267"/>
      <c r="N611" s="883"/>
      <c r="O611" s="883"/>
      <c r="P611" s="795" t="s">
        <v>3194</v>
      </c>
      <c r="Q611" s="752" t="s">
        <v>4020</v>
      </c>
      <c r="R611" s="837">
        <v>10</v>
      </c>
      <c r="S611" s="836"/>
    </row>
    <row r="612" spans="1:19" ht="90">
      <c r="A612" s="1255"/>
      <c r="B612" s="1256"/>
      <c r="C612" s="1256"/>
      <c r="D612" s="1259"/>
      <c r="E612" s="1259"/>
      <c r="F612" s="1256"/>
      <c r="G612" s="1256"/>
      <c r="H612" s="1264"/>
      <c r="I612" s="1265"/>
      <c r="J612" s="1266"/>
      <c r="K612" s="1256"/>
      <c r="L612" s="1256"/>
      <c r="M612" s="1267"/>
      <c r="N612" s="883"/>
      <c r="O612" s="883"/>
      <c r="P612" s="795" t="s">
        <v>3195</v>
      </c>
      <c r="Q612" s="752" t="s">
        <v>4020</v>
      </c>
      <c r="R612" s="837">
        <v>7000</v>
      </c>
      <c r="S612" s="836"/>
    </row>
    <row r="613" spans="1:19" ht="24.75">
      <c r="A613" s="838"/>
      <c r="B613" s="830"/>
      <c r="C613" s="838" t="s">
        <v>1312</v>
      </c>
      <c r="D613" s="838"/>
      <c r="E613" s="838"/>
      <c r="F613" s="839">
        <f>SUM(F401:F612)</f>
        <v>236</v>
      </c>
      <c r="G613" s="839">
        <f>SUM(G401:G612)</f>
        <v>106</v>
      </c>
      <c r="H613" s="839"/>
      <c r="I613" s="839"/>
      <c r="J613" s="840"/>
      <c r="K613" s="839">
        <f>SUM(K401:K612)</f>
        <v>7</v>
      </c>
      <c r="L613" s="839">
        <f>SUM(L401:L612)</f>
        <v>291</v>
      </c>
      <c r="M613" s="838"/>
      <c r="N613" s="838"/>
      <c r="O613" s="838"/>
      <c r="P613" s="838"/>
      <c r="Q613" s="841"/>
      <c r="R613" s="842">
        <f>SUM(R401:R612)</f>
        <v>164211</v>
      </c>
      <c r="S613" s="838"/>
    </row>
    <row r="614" spans="1:19" ht="24.75">
      <c r="A614" s="838"/>
      <c r="B614" s="830"/>
      <c r="C614" s="838" t="s">
        <v>3505</v>
      </c>
      <c r="D614" s="838"/>
      <c r="E614" s="838"/>
      <c r="F614" s="839">
        <f>F613+F375+F391+F399</f>
        <v>362</v>
      </c>
      <c r="G614" s="839">
        <f>G613+G375+G391+G399</f>
        <v>141</v>
      </c>
      <c r="H614" s="839"/>
      <c r="I614" s="839"/>
      <c r="J614" s="840"/>
      <c r="K614" s="839">
        <f>K613+K375+K391+K399</f>
        <v>37</v>
      </c>
      <c r="L614" s="839">
        <f>L613+L375+L391+L399</f>
        <v>496</v>
      </c>
      <c r="M614" s="838"/>
      <c r="N614" s="838"/>
      <c r="O614" s="838"/>
      <c r="P614" s="838"/>
      <c r="Q614" s="841"/>
      <c r="R614" s="842">
        <f>R613+R375+R391+R399</f>
        <v>256440.9</v>
      </c>
      <c r="S614" s="838"/>
    </row>
    <row r="615" spans="1:19">
      <c r="B615"/>
    </row>
    <row r="616" spans="1:19">
      <c r="B616"/>
    </row>
  </sheetData>
  <mergeCells count="1863">
    <mergeCell ref="F529:F532"/>
    <mergeCell ref="G529:G532"/>
    <mergeCell ref="H3:I4"/>
    <mergeCell ref="F3:F5"/>
    <mergeCell ref="K2:L3"/>
    <mergeCell ref="H6:I6"/>
    <mergeCell ref="N3:O3"/>
    <mergeCell ref="N4:N5"/>
    <mergeCell ref="O4:O5"/>
    <mergeCell ref="P3:P5"/>
    <mergeCell ref="Q3:Q5"/>
    <mergeCell ref="R3:R5"/>
    <mergeCell ref="A7:S7"/>
    <mergeCell ref="A1:S1"/>
    <mergeCell ref="A2:A5"/>
    <mergeCell ref="B2:B5"/>
    <mergeCell ref="C2:C5"/>
    <mergeCell ref="F2:I2"/>
    <mergeCell ref="J2:J5"/>
    <mergeCell ref="M2:M5"/>
    <mergeCell ref="N2:R2"/>
    <mergeCell ref="A8:S8"/>
    <mergeCell ref="S2:S5"/>
    <mergeCell ref="D4:D5"/>
    <mergeCell ref="E4:E5"/>
    <mergeCell ref="K4:K5"/>
    <mergeCell ref="L4:L5"/>
    <mergeCell ref="D2:E3"/>
    <mergeCell ref="G3:G5"/>
    <mergeCell ref="L92:L95"/>
    <mergeCell ref="M92:M95"/>
    <mergeCell ref="N92:N95"/>
    <mergeCell ref="A92:A95"/>
    <mergeCell ref="B92:B95"/>
    <mergeCell ref="C92:C95"/>
    <mergeCell ref="D92:D95"/>
    <mergeCell ref="E92:E95"/>
    <mergeCell ref="F92:F95"/>
    <mergeCell ref="G92:G95"/>
    <mergeCell ref="J80:J86"/>
    <mergeCell ref="K80:K86"/>
    <mergeCell ref="L80:L86"/>
    <mergeCell ref="M80:M86"/>
    <mergeCell ref="D71:D73"/>
    <mergeCell ref="E71:E73"/>
    <mergeCell ref="N71:N73"/>
    <mergeCell ref="J71:J73"/>
    <mergeCell ref="K71:K73"/>
    <mergeCell ref="L71:L73"/>
    <mergeCell ref="M71:M73"/>
    <mergeCell ref="A71:A73"/>
    <mergeCell ref="B71:B73"/>
    <mergeCell ref="C71:C73"/>
    <mergeCell ref="F71:F73"/>
    <mergeCell ref="G71:G73"/>
    <mergeCell ref="H71:I73"/>
    <mergeCell ref="A74:A79"/>
    <mergeCell ref="B74:B79"/>
    <mergeCell ref="C74:C79"/>
    <mergeCell ref="D74:D79"/>
    <mergeCell ref="E74:E79"/>
    <mergeCell ref="F74:F79"/>
    <mergeCell ref="G74:G79"/>
    <mergeCell ref="H74:I79"/>
    <mergeCell ref="A116:A118"/>
    <mergeCell ref="B116:B118"/>
    <mergeCell ref="C116:C118"/>
    <mergeCell ref="D116:D118"/>
    <mergeCell ref="E116:E118"/>
    <mergeCell ref="A112:A115"/>
    <mergeCell ref="B112:B115"/>
    <mergeCell ref="C112:C115"/>
    <mergeCell ref="D112:D115"/>
    <mergeCell ref="E112:E115"/>
    <mergeCell ref="F112:F115"/>
    <mergeCell ref="G112:G115"/>
    <mergeCell ref="F116:F118"/>
    <mergeCell ref="G116:G118"/>
    <mergeCell ref="J106:J111"/>
    <mergeCell ref="K106:K111"/>
    <mergeCell ref="L106:L111"/>
    <mergeCell ref="A106:A111"/>
    <mergeCell ref="B106:B111"/>
    <mergeCell ref="C106:C111"/>
    <mergeCell ref="D106:D111"/>
    <mergeCell ref="E106:E111"/>
    <mergeCell ref="F106:F111"/>
    <mergeCell ref="G106:G111"/>
    <mergeCell ref="H106:I111"/>
    <mergeCell ref="A154:A157"/>
    <mergeCell ref="B154:B157"/>
    <mergeCell ref="C154:C157"/>
    <mergeCell ref="D154:D157"/>
    <mergeCell ref="E154:E157"/>
    <mergeCell ref="F154:F157"/>
    <mergeCell ref="G154:G157"/>
    <mergeCell ref="J149:J153"/>
    <mergeCell ref="K149:K153"/>
    <mergeCell ref="J134:J141"/>
    <mergeCell ref="K134:K141"/>
    <mergeCell ref="L134:L141"/>
    <mergeCell ref="M134:M141"/>
    <mergeCell ref="N134:N141"/>
    <mergeCell ref="A134:A141"/>
    <mergeCell ref="B134:B141"/>
    <mergeCell ref="C134:C141"/>
    <mergeCell ref="D134:D141"/>
    <mergeCell ref="E134:E141"/>
    <mergeCell ref="F134:F141"/>
    <mergeCell ref="G134:G141"/>
    <mergeCell ref="H134:I141"/>
    <mergeCell ref="A142:A148"/>
    <mergeCell ref="B142:B148"/>
    <mergeCell ref="C142:C148"/>
    <mergeCell ref="D142:D148"/>
    <mergeCell ref="E142:E148"/>
    <mergeCell ref="F142:F148"/>
    <mergeCell ref="G142:G148"/>
    <mergeCell ref="H142:I148"/>
    <mergeCell ref="D163:D165"/>
    <mergeCell ref="E163:E165"/>
    <mergeCell ref="N163:N165"/>
    <mergeCell ref="O163:O165"/>
    <mergeCell ref="A163:A165"/>
    <mergeCell ref="B163:B165"/>
    <mergeCell ref="C163:C165"/>
    <mergeCell ref="F163:F165"/>
    <mergeCell ref="G163:G165"/>
    <mergeCell ref="F166:F169"/>
    <mergeCell ref="G166:G169"/>
    <mergeCell ref="J158:J162"/>
    <mergeCell ref="K158:K162"/>
    <mergeCell ref="L158:L162"/>
    <mergeCell ref="M158:M162"/>
    <mergeCell ref="N158:N162"/>
    <mergeCell ref="A158:A162"/>
    <mergeCell ref="B158:B162"/>
    <mergeCell ref="C158:C162"/>
    <mergeCell ref="D158:D162"/>
    <mergeCell ref="E158:E162"/>
    <mergeCell ref="F158:F162"/>
    <mergeCell ref="G158:G162"/>
    <mergeCell ref="O166:O169"/>
    <mergeCell ref="D170:D174"/>
    <mergeCell ref="E170:E174"/>
    <mergeCell ref="F170:F174"/>
    <mergeCell ref="G170:G174"/>
    <mergeCell ref="F175:F178"/>
    <mergeCell ref="G175:G178"/>
    <mergeCell ref="H175:I178"/>
    <mergeCell ref="J166:J169"/>
    <mergeCell ref="K166:K169"/>
    <mergeCell ref="L166:L169"/>
    <mergeCell ref="M166:M169"/>
    <mergeCell ref="N166:N169"/>
    <mergeCell ref="A166:A169"/>
    <mergeCell ref="B166:B169"/>
    <mergeCell ref="C166:C169"/>
    <mergeCell ref="D166:D169"/>
    <mergeCell ref="E166:E169"/>
    <mergeCell ref="H166:I169"/>
    <mergeCell ref="H170:I174"/>
    <mergeCell ref="D199:D200"/>
    <mergeCell ref="E199:E200"/>
    <mergeCell ref="N199:N200"/>
    <mergeCell ref="O199:O200"/>
    <mergeCell ref="J199:J200"/>
    <mergeCell ref="K199:K200"/>
    <mergeCell ref="L199:L200"/>
    <mergeCell ref="M199:M200"/>
    <mergeCell ref="A199:A200"/>
    <mergeCell ref="B199:B200"/>
    <mergeCell ref="C199:C200"/>
    <mergeCell ref="F199:F200"/>
    <mergeCell ref="G199:G200"/>
    <mergeCell ref="H199:I200"/>
    <mergeCell ref="A201:A203"/>
    <mergeCell ref="B201:B203"/>
    <mergeCell ref="A194:A198"/>
    <mergeCell ref="B194:B198"/>
    <mergeCell ref="C194:C198"/>
    <mergeCell ref="F194:F198"/>
    <mergeCell ref="G194:G198"/>
    <mergeCell ref="J194:J198"/>
    <mergeCell ref="K194:K198"/>
    <mergeCell ref="L194:L198"/>
    <mergeCell ref="M194:M198"/>
    <mergeCell ref="D194:D198"/>
    <mergeCell ref="E194:E198"/>
    <mergeCell ref="N194:N198"/>
    <mergeCell ref="H194:I198"/>
    <mergeCell ref="O194:O198"/>
    <mergeCell ref="C201:C203"/>
    <mergeCell ref="D201:D203"/>
    <mergeCell ref="A225:A231"/>
    <mergeCell ref="B225:B231"/>
    <mergeCell ref="C225:C231"/>
    <mergeCell ref="D225:D231"/>
    <mergeCell ref="E225:E231"/>
    <mergeCell ref="F225:F231"/>
    <mergeCell ref="G225:G231"/>
    <mergeCell ref="A221:A224"/>
    <mergeCell ref="B221:B224"/>
    <mergeCell ref="C221:C224"/>
    <mergeCell ref="F221:F224"/>
    <mergeCell ref="G221:G224"/>
    <mergeCell ref="J221:J224"/>
    <mergeCell ref="K221:K224"/>
    <mergeCell ref="L221:L224"/>
    <mergeCell ref="M221:M224"/>
    <mergeCell ref="N221:N224"/>
    <mergeCell ref="J225:J231"/>
    <mergeCell ref="K225:K231"/>
    <mergeCell ref="L225:L231"/>
    <mergeCell ref="M225:M231"/>
    <mergeCell ref="N225:N231"/>
    <mergeCell ref="H225:I231"/>
    <mergeCell ref="A235:A238"/>
    <mergeCell ref="B235:B238"/>
    <mergeCell ref="C235:C238"/>
    <mergeCell ref="D235:D238"/>
    <mergeCell ref="E235:E238"/>
    <mergeCell ref="D232:D234"/>
    <mergeCell ref="E232:E234"/>
    <mergeCell ref="N232:N234"/>
    <mergeCell ref="O232:O234"/>
    <mergeCell ref="J232:J234"/>
    <mergeCell ref="K232:K234"/>
    <mergeCell ref="L232:L234"/>
    <mergeCell ref="M232:M234"/>
    <mergeCell ref="A232:A234"/>
    <mergeCell ref="B232:B234"/>
    <mergeCell ref="C232:C234"/>
    <mergeCell ref="F232:F234"/>
    <mergeCell ref="G232:G234"/>
    <mergeCell ref="F235:F238"/>
    <mergeCell ref="G235:G238"/>
    <mergeCell ref="A248:A250"/>
    <mergeCell ref="B248:B250"/>
    <mergeCell ref="C248:C250"/>
    <mergeCell ref="D248:D250"/>
    <mergeCell ref="E248:E250"/>
    <mergeCell ref="F248:F250"/>
    <mergeCell ref="G248:G250"/>
    <mergeCell ref="J245:J247"/>
    <mergeCell ref="K245:K247"/>
    <mergeCell ref="L245:L247"/>
    <mergeCell ref="M245:M247"/>
    <mergeCell ref="N245:N247"/>
    <mergeCell ref="A245:A247"/>
    <mergeCell ref="B245:B247"/>
    <mergeCell ref="C245:C247"/>
    <mergeCell ref="D245:D247"/>
    <mergeCell ref="E245:E247"/>
    <mergeCell ref="F245:F247"/>
    <mergeCell ref="G245:G247"/>
    <mergeCell ref="H245:I247"/>
    <mergeCell ref="B269:B270"/>
    <mergeCell ref="C269:C270"/>
    <mergeCell ref="A269:A270"/>
    <mergeCell ref="D269:D270"/>
    <mergeCell ref="E269:E270"/>
    <mergeCell ref="F269:F270"/>
    <mergeCell ref="G269:G270"/>
    <mergeCell ref="J254:J256"/>
    <mergeCell ref="K254:K256"/>
    <mergeCell ref="L254:L256"/>
    <mergeCell ref="M254:M256"/>
    <mergeCell ref="N254:N256"/>
    <mergeCell ref="A251:A253"/>
    <mergeCell ref="B251:B253"/>
    <mergeCell ref="C251:C253"/>
    <mergeCell ref="D251:D253"/>
    <mergeCell ref="E251:E253"/>
    <mergeCell ref="F251:F253"/>
    <mergeCell ref="G251:G253"/>
    <mergeCell ref="A254:A256"/>
    <mergeCell ref="B254:B256"/>
    <mergeCell ref="C254:C256"/>
    <mergeCell ref="D254:D256"/>
    <mergeCell ref="E254:E256"/>
    <mergeCell ref="F254:F256"/>
    <mergeCell ref="G254:G256"/>
    <mergeCell ref="A257:A263"/>
    <mergeCell ref="B257:B263"/>
    <mergeCell ref="C257:C263"/>
    <mergeCell ref="D257:D263"/>
    <mergeCell ref="E257:E263"/>
    <mergeCell ref="F257:F263"/>
    <mergeCell ref="A299:A303"/>
    <mergeCell ref="B299:B303"/>
    <mergeCell ref="C299:C303"/>
    <mergeCell ref="D299:D303"/>
    <mergeCell ref="E299:E303"/>
    <mergeCell ref="F299:F303"/>
    <mergeCell ref="G299:G303"/>
    <mergeCell ref="J296:J298"/>
    <mergeCell ref="K296:K298"/>
    <mergeCell ref="L296:L298"/>
    <mergeCell ref="M296:M298"/>
    <mergeCell ref="N296:N298"/>
    <mergeCell ref="A296:A298"/>
    <mergeCell ref="B296:B298"/>
    <mergeCell ref="C296:C298"/>
    <mergeCell ref="D296:D298"/>
    <mergeCell ref="E296:E298"/>
    <mergeCell ref="F296:F298"/>
    <mergeCell ref="G296:G298"/>
    <mergeCell ref="A345:A348"/>
    <mergeCell ref="B345:B348"/>
    <mergeCell ref="C345:C348"/>
    <mergeCell ref="D345:D348"/>
    <mergeCell ref="E345:E348"/>
    <mergeCell ref="F345:F348"/>
    <mergeCell ref="G345:G348"/>
    <mergeCell ref="A349:A350"/>
    <mergeCell ref="B349:B350"/>
    <mergeCell ref="C349:C350"/>
    <mergeCell ref="D349:D350"/>
    <mergeCell ref="J342:J344"/>
    <mergeCell ref="K342:K344"/>
    <mergeCell ref="L342:L344"/>
    <mergeCell ref="M342:M344"/>
    <mergeCell ref="N342:N344"/>
    <mergeCell ref="A342:A344"/>
    <mergeCell ref="B342:B344"/>
    <mergeCell ref="C342:C344"/>
    <mergeCell ref="D342:D344"/>
    <mergeCell ref="E342:E344"/>
    <mergeCell ref="F342:F344"/>
    <mergeCell ref="G342:G344"/>
    <mergeCell ref="E349:E350"/>
    <mergeCell ref="F349:F350"/>
    <mergeCell ref="G349:G350"/>
    <mergeCell ref="A405:A409"/>
    <mergeCell ref="B405:B409"/>
    <mergeCell ref="C405:C409"/>
    <mergeCell ref="D405:D409"/>
    <mergeCell ref="E405:E409"/>
    <mergeCell ref="F405:F409"/>
    <mergeCell ref="G405:G409"/>
    <mergeCell ref="J355:J359"/>
    <mergeCell ref="K355:K359"/>
    <mergeCell ref="L355:L359"/>
    <mergeCell ref="M355:M359"/>
    <mergeCell ref="N355:N359"/>
    <mergeCell ref="J349:J350"/>
    <mergeCell ref="K349:K350"/>
    <mergeCell ref="L349:L350"/>
    <mergeCell ref="M349:M350"/>
    <mergeCell ref="N349:N350"/>
    <mergeCell ref="A400:S400"/>
    <mergeCell ref="A401:A404"/>
    <mergeCell ref="B401:B404"/>
    <mergeCell ref="C401:C404"/>
    <mergeCell ref="D401:D404"/>
    <mergeCell ref="E401:E404"/>
    <mergeCell ref="F401:F404"/>
    <mergeCell ref="G401:G404"/>
    <mergeCell ref="H401:I404"/>
    <mergeCell ref="O401:O404"/>
    <mergeCell ref="H385:I385"/>
    <mergeCell ref="A362:S362"/>
    <mergeCell ref="A363:S363"/>
    <mergeCell ref="H364:I364"/>
    <mergeCell ref="H365:I365"/>
    <mergeCell ref="E466:E469"/>
    <mergeCell ref="F466:F469"/>
    <mergeCell ref="G466:G469"/>
    <mergeCell ref="J443:J446"/>
    <mergeCell ref="A428:A430"/>
    <mergeCell ref="B428:B430"/>
    <mergeCell ref="C428:C430"/>
    <mergeCell ref="F428:F430"/>
    <mergeCell ref="G428:G430"/>
    <mergeCell ref="J428:J430"/>
    <mergeCell ref="K428:K430"/>
    <mergeCell ref="L428:L430"/>
    <mergeCell ref="M428:M430"/>
    <mergeCell ref="D428:D430"/>
    <mergeCell ref="E428:E430"/>
    <mergeCell ref="A431:A437"/>
    <mergeCell ref="B431:B437"/>
    <mergeCell ref="C431:C437"/>
    <mergeCell ref="D431:D437"/>
    <mergeCell ref="E431:E437"/>
    <mergeCell ref="F431:F437"/>
    <mergeCell ref="G431:G437"/>
    <mergeCell ref="A438:A442"/>
    <mergeCell ref="B438:B442"/>
    <mergeCell ref="C438:C442"/>
    <mergeCell ref="D438:D442"/>
    <mergeCell ref="E438:E442"/>
    <mergeCell ref="F438:F442"/>
    <mergeCell ref="A583:A585"/>
    <mergeCell ref="B583:B585"/>
    <mergeCell ref="C583:C585"/>
    <mergeCell ref="D583:D585"/>
    <mergeCell ref="E583:E585"/>
    <mergeCell ref="F583:F585"/>
    <mergeCell ref="G583:G585"/>
    <mergeCell ref="J576:J578"/>
    <mergeCell ref="K576:K578"/>
    <mergeCell ref="L576:L578"/>
    <mergeCell ref="M576:M578"/>
    <mergeCell ref="N576:N578"/>
    <mergeCell ref="D533:D536"/>
    <mergeCell ref="E533:E536"/>
    <mergeCell ref="N533:N536"/>
    <mergeCell ref="O533:O536"/>
    <mergeCell ref="J533:J536"/>
    <mergeCell ref="K533:K536"/>
    <mergeCell ref="L533:L536"/>
    <mergeCell ref="M533:M536"/>
    <mergeCell ref="J552:J556"/>
    <mergeCell ref="K552:K556"/>
    <mergeCell ref="L552:L556"/>
    <mergeCell ref="M552:M556"/>
    <mergeCell ref="N552:N556"/>
    <mergeCell ref="A552:A556"/>
    <mergeCell ref="H583:I585"/>
    <mergeCell ref="O583:O585"/>
    <mergeCell ref="J579:J582"/>
    <mergeCell ref="K579:K582"/>
    <mergeCell ref="L579:L582"/>
    <mergeCell ref="M579:M582"/>
    <mergeCell ref="H9:I9"/>
    <mergeCell ref="H10:I10"/>
    <mergeCell ref="H11:I11"/>
    <mergeCell ref="H12:I12"/>
    <mergeCell ref="H13:I13"/>
    <mergeCell ref="H14:I14"/>
    <mergeCell ref="H15:I15"/>
    <mergeCell ref="H16:I16"/>
    <mergeCell ref="H17:I17"/>
    <mergeCell ref="H18:I18"/>
    <mergeCell ref="H19:I19"/>
    <mergeCell ref="H20:I20"/>
    <mergeCell ref="H21:I21"/>
    <mergeCell ref="H22:I22"/>
    <mergeCell ref="H23:I23"/>
    <mergeCell ref="J590:J594"/>
    <mergeCell ref="K590:K594"/>
    <mergeCell ref="J583:J585"/>
    <mergeCell ref="K583:K585"/>
    <mergeCell ref="J516:J519"/>
    <mergeCell ref="K516:K519"/>
    <mergeCell ref="J524:J528"/>
    <mergeCell ref="K524:K528"/>
    <mergeCell ref="J485:J492"/>
    <mergeCell ref="K485:K492"/>
    <mergeCell ref="J466:J469"/>
    <mergeCell ref="K466:K469"/>
    <mergeCell ref="J422:J427"/>
    <mergeCell ref="K422:K427"/>
    <mergeCell ref="J414:J418"/>
    <mergeCell ref="K414:K418"/>
    <mergeCell ref="J405:J409"/>
    <mergeCell ref="Q45:Q46"/>
    <mergeCell ref="R45:R46"/>
    <mergeCell ref="S45:S46"/>
    <mergeCell ref="H24:I24"/>
    <mergeCell ref="H25:I25"/>
    <mergeCell ref="A27:S27"/>
    <mergeCell ref="H28:I28"/>
    <mergeCell ref="H29:I29"/>
    <mergeCell ref="B30:B31"/>
    <mergeCell ref="C30:C31"/>
    <mergeCell ref="H30:I30"/>
    <mergeCell ref="H31:I31"/>
    <mergeCell ref="H32:I32"/>
    <mergeCell ref="B33:B34"/>
    <mergeCell ref="C33:C34"/>
    <mergeCell ref="H33:I33"/>
    <mergeCell ref="J47:J48"/>
    <mergeCell ref="M47:M48"/>
    <mergeCell ref="D45:E46"/>
    <mergeCell ref="N45:O46"/>
    <mergeCell ref="J43:J44"/>
    <mergeCell ref="M43:M44"/>
    <mergeCell ref="K45:K46"/>
    <mergeCell ref="L45:L46"/>
    <mergeCell ref="P45:P46"/>
    <mergeCell ref="A47:A48"/>
    <mergeCell ref="Q63:Q65"/>
    <mergeCell ref="S63:S65"/>
    <mergeCell ref="J66:J70"/>
    <mergeCell ref="K66:K70"/>
    <mergeCell ref="L66:L70"/>
    <mergeCell ref="M66:M70"/>
    <mergeCell ref="N66:N70"/>
    <mergeCell ref="Q55:Q58"/>
    <mergeCell ref="S55:S58"/>
    <mergeCell ref="J59:J62"/>
    <mergeCell ref="K59:K62"/>
    <mergeCell ref="L59:L62"/>
    <mergeCell ref="M59:M62"/>
    <mergeCell ref="N59:N62"/>
    <mergeCell ref="Q47:Q48"/>
    <mergeCell ref="R47:R48"/>
    <mergeCell ref="S47:S48"/>
    <mergeCell ref="J50:J51"/>
    <mergeCell ref="K50:K51"/>
    <mergeCell ref="L50:L51"/>
    <mergeCell ref="M50:M51"/>
    <mergeCell ref="N50:N51"/>
    <mergeCell ref="Q50:Q51"/>
    <mergeCell ref="R50:R51"/>
    <mergeCell ref="S50:S51"/>
    <mergeCell ref="J55:J58"/>
    <mergeCell ref="K55:K58"/>
    <mergeCell ref="L55:L58"/>
    <mergeCell ref="M55:M58"/>
    <mergeCell ref="N55:N58"/>
    <mergeCell ref="O106:O111"/>
    <mergeCell ref="H112:I115"/>
    <mergeCell ref="O112:O115"/>
    <mergeCell ref="J101:J105"/>
    <mergeCell ref="K101:K105"/>
    <mergeCell ref="L101:L105"/>
    <mergeCell ref="M101:M105"/>
    <mergeCell ref="N101:N105"/>
    <mergeCell ref="J96:J98"/>
    <mergeCell ref="K96:K98"/>
    <mergeCell ref="L96:L98"/>
    <mergeCell ref="M96:M98"/>
    <mergeCell ref="N96:N98"/>
    <mergeCell ref="H92:I95"/>
    <mergeCell ref="O92:O95"/>
    <mergeCell ref="N80:N86"/>
    <mergeCell ref="J87:J91"/>
    <mergeCell ref="K87:K91"/>
    <mergeCell ref="L87:L91"/>
    <mergeCell ref="M87:M91"/>
    <mergeCell ref="N87:N91"/>
    <mergeCell ref="M106:M111"/>
    <mergeCell ref="N106:N111"/>
    <mergeCell ref="N99:N100"/>
    <mergeCell ref="O99:O100"/>
    <mergeCell ref="J99:J100"/>
    <mergeCell ref="K99:K100"/>
    <mergeCell ref="L99:L100"/>
    <mergeCell ref="M99:M100"/>
    <mergeCell ref="J92:J95"/>
    <mergeCell ref="K92:K95"/>
    <mergeCell ref="O134:O141"/>
    <mergeCell ref="J129:J133"/>
    <mergeCell ref="K129:K133"/>
    <mergeCell ref="L129:L133"/>
    <mergeCell ref="M129:M133"/>
    <mergeCell ref="N129:N133"/>
    <mergeCell ref="J119:J125"/>
    <mergeCell ref="K119:K125"/>
    <mergeCell ref="L119:L125"/>
    <mergeCell ref="M119:M125"/>
    <mergeCell ref="N119:N125"/>
    <mergeCell ref="H116:I118"/>
    <mergeCell ref="O116:O118"/>
    <mergeCell ref="J112:J115"/>
    <mergeCell ref="K112:K115"/>
    <mergeCell ref="L112:L115"/>
    <mergeCell ref="M112:M115"/>
    <mergeCell ref="N112:N115"/>
    <mergeCell ref="J126:J128"/>
    <mergeCell ref="K126:K128"/>
    <mergeCell ref="L126:L128"/>
    <mergeCell ref="M126:M128"/>
    <mergeCell ref="N126:N128"/>
    <mergeCell ref="J116:J118"/>
    <mergeCell ref="K116:K118"/>
    <mergeCell ref="L116:L118"/>
    <mergeCell ref="M116:M118"/>
    <mergeCell ref="N116:N118"/>
    <mergeCell ref="Q158:Q162"/>
    <mergeCell ref="S158:S162"/>
    <mergeCell ref="J163:J165"/>
    <mergeCell ref="K163:K165"/>
    <mergeCell ref="L163:L165"/>
    <mergeCell ref="M163:M165"/>
    <mergeCell ref="H158:I162"/>
    <mergeCell ref="O158:O162"/>
    <mergeCell ref="H163:I165"/>
    <mergeCell ref="L149:L153"/>
    <mergeCell ref="M149:M153"/>
    <mergeCell ref="N149:N153"/>
    <mergeCell ref="J154:J157"/>
    <mergeCell ref="K154:K157"/>
    <mergeCell ref="L154:L157"/>
    <mergeCell ref="M154:M157"/>
    <mergeCell ref="N154:N157"/>
    <mergeCell ref="H154:I157"/>
    <mergeCell ref="O154:O157"/>
    <mergeCell ref="Q175:Q178"/>
    <mergeCell ref="S175:S178"/>
    <mergeCell ref="J179:J181"/>
    <mergeCell ref="K179:K181"/>
    <mergeCell ref="L179:L181"/>
    <mergeCell ref="M179:M181"/>
    <mergeCell ref="N179:N181"/>
    <mergeCell ref="Q179:Q181"/>
    <mergeCell ref="S179:S181"/>
    <mergeCell ref="O175:O178"/>
    <mergeCell ref="R176:R178"/>
    <mergeCell ref="J170:J174"/>
    <mergeCell ref="K170:K174"/>
    <mergeCell ref="L170:L174"/>
    <mergeCell ref="M170:M174"/>
    <mergeCell ref="N170:N174"/>
    <mergeCell ref="J189:J193"/>
    <mergeCell ref="K189:K193"/>
    <mergeCell ref="L189:L193"/>
    <mergeCell ref="M189:M193"/>
    <mergeCell ref="J182:J188"/>
    <mergeCell ref="K182:K188"/>
    <mergeCell ref="L182:L188"/>
    <mergeCell ref="M182:M188"/>
    <mergeCell ref="N182:N188"/>
    <mergeCell ref="J175:J178"/>
    <mergeCell ref="K175:K178"/>
    <mergeCell ref="L175:L178"/>
    <mergeCell ref="M175:M178"/>
    <mergeCell ref="O170:O174"/>
    <mergeCell ref="N175:N178"/>
    <mergeCell ref="O225:O231"/>
    <mergeCell ref="J216:J220"/>
    <mergeCell ref="K216:K220"/>
    <mergeCell ref="L216:L220"/>
    <mergeCell ref="M216:M220"/>
    <mergeCell ref="N216:N220"/>
    <mergeCell ref="J204:J207"/>
    <mergeCell ref="K204:K207"/>
    <mergeCell ref="L204:L207"/>
    <mergeCell ref="M204:M207"/>
    <mergeCell ref="N204:N207"/>
    <mergeCell ref="J208:J211"/>
    <mergeCell ref="K208:K211"/>
    <mergeCell ref="L208:L211"/>
    <mergeCell ref="M208:M211"/>
    <mergeCell ref="N208:N211"/>
    <mergeCell ref="J212:J215"/>
    <mergeCell ref="K212:K215"/>
    <mergeCell ref="L212:L215"/>
    <mergeCell ref="M212:M215"/>
    <mergeCell ref="N212:N215"/>
    <mergeCell ref="O245:O247"/>
    <mergeCell ref="J241:J244"/>
    <mergeCell ref="K241:K244"/>
    <mergeCell ref="L241:L244"/>
    <mergeCell ref="M241:M244"/>
    <mergeCell ref="N241:N244"/>
    <mergeCell ref="Q232:Q234"/>
    <mergeCell ref="S232:S234"/>
    <mergeCell ref="J235:J238"/>
    <mergeCell ref="K235:K238"/>
    <mergeCell ref="L235:L238"/>
    <mergeCell ref="M235:M238"/>
    <mergeCell ref="N235:N238"/>
    <mergeCell ref="H232:I234"/>
    <mergeCell ref="H235:I238"/>
    <mergeCell ref="O235:O238"/>
    <mergeCell ref="J239:J240"/>
    <mergeCell ref="K239:K240"/>
    <mergeCell ref="L239:L240"/>
    <mergeCell ref="M239:M240"/>
    <mergeCell ref="N239:N240"/>
    <mergeCell ref="Q254:Q256"/>
    <mergeCell ref="S254:S256"/>
    <mergeCell ref="J257:J263"/>
    <mergeCell ref="K257:K263"/>
    <mergeCell ref="L257:L263"/>
    <mergeCell ref="M257:M263"/>
    <mergeCell ref="N257:N263"/>
    <mergeCell ref="J251:J253"/>
    <mergeCell ref="K251:K253"/>
    <mergeCell ref="L251:L253"/>
    <mergeCell ref="M251:M253"/>
    <mergeCell ref="N251:N253"/>
    <mergeCell ref="Q251:Q253"/>
    <mergeCell ref="S251:S253"/>
    <mergeCell ref="H248:I250"/>
    <mergeCell ref="O248:O250"/>
    <mergeCell ref="R249:R250"/>
    <mergeCell ref="H251:I253"/>
    <mergeCell ref="O251:O253"/>
    <mergeCell ref="J248:J250"/>
    <mergeCell ref="K248:K250"/>
    <mergeCell ref="L248:L250"/>
    <mergeCell ref="M248:M250"/>
    <mergeCell ref="N248:N250"/>
    <mergeCell ref="Q248:Q250"/>
    <mergeCell ref="S248:S250"/>
    <mergeCell ref="H254:I256"/>
    <mergeCell ref="O254:O256"/>
    <mergeCell ref="Q273:Q276"/>
    <mergeCell ref="J277:J279"/>
    <mergeCell ref="K277:K279"/>
    <mergeCell ref="L277:L279"/>
    <mergeCell ref="M277:M279"/>
    <mergeCell ref="N277:N279"/>
    <mergeCell ref="Q277:Q279"/>
    <mergeCell ref="S277:S279"/>
    <mergeCell ref="R275:R276"/>
    <mergeCell ref="S275:S276"/>
    <mergeCell ref="J271:J272"/>
    <mergeCell ref="M271:M272"/>
    <mergeCell ref="Q271:Q272"/>
    <mergeCell ref="R271:R272"/>
    <mergeCell ref="S271:S272"/>
    <mergeCell ref="H269:I270"/>
    <mergeCell ref="O269:O270"/>
    <mergeCell ref="J269:J270"/>
    <mergeCell ref="K269:K270"/>
    <mergeCell ref="L269:L270"/>
    <mergeCell ref="M269:M270"/>
    <mergeCell ref="N269:N270"/>
    <mergeCell ref="Q269:Q270"/>
    <mergeCell ref="S269:S270"/>
    <mergeCell ref="J273:J276"/>
    <mergeCell ref="K273:K276"/>
    <mergeCell ref="L273:L276"/>
    <mergeCell ref="M273:M276"/>
    <mergeCell ref="N273:N276"/>
    <mergeCell ref="Q304:Q306"/>
    <mergeCell ref="S304:S306"/>
    <mergeCell ref="J307:J308"/>
    <mergeCell ref="K307:K308"/>
    <mergeCell ref="L307:L308"/>
    <mergeCell ref="M307:M308"/>
    <mergeCell ref="N307:N308"/>
    <mergeCell ref="J299:J303"/>
    <mergeCell ref="K299:K303"/>
    <mergeCell ref="L299:L303"/>
    <mergeCell ref="M299:M303"/>
    <mergeCell ref="N299:N303"/>
    <mergeCell ref="H296:I298"/>
    <mergeCell ref="O296:O298"/>
    <mergeCell ref="H299:I303"/>
    <mergeCell ref="O299:O303"/>
    <mergeCell ref="J289:J295"/>
    <mergeCell ref="K289:K295"/>
    <mergeCell ref="L289:L295"/>
    <mergeCell ref="M289:M295"/>
    <mergeCell ref="N289:N295"/>
    <mergeCell ref="Q349:Q350"/>
    <mergeCell ref="S349:S350"/>
    <mergeCell ref="J351:J354"/>
    <mergeCell ref="M351:M354"/>
    <mergeCell ref="J345:J348"/>
    <mergeCell ref="K345:K348"/>
    <mergeCell ref="L345:L348"/>
    <mergeCell ref="M345:M348"/>
    <mergeCell ref="N345:N348"/>
    <mergeCell ref="H342:I344"/>
    <mergeCell ref="O342:O344"/>
    <mergeCell ref="H345:I348"/>
    <mergeCell ref="O345:O348"/>
    <mergeCell ref="N327:N333"/>
    <mergeCell ref="J334:J341"/>
    <mergeCell ref="K334:K341"/>
    <mergeCell ref="L334:L341"/>
    <mergeCell ref="M334:M341"/>
    <mergeCell ref="N334:N341"/>
    <mergeCell ref="J327:J333"/>
    <mergeCell ref="K327:K333"/>
    <mergeCell ref="L327:L333"/>
    <mergeCell ref="M327:M333"/>
    <mergeCell ref="H349:I350"/>
    <mergeCell ref="O349:O350"/>
    <mergeCell ref="O428:O430"/>
    <mergeCell ref="H431:I437"/>
    <mergeCell ref="O431:O437"/>
    <mergeCell ref="H366:I366"/>
    <mergeCell ref="H367:I367"/>
    <mergeCell ref="H368:I368"/>
    <mergeCell ref="D369:E369"/>
    <mergeCell ref="H369:I369"/>
    <mergeCell ref="N369:O369"/>
    <mergeCell ref="H370:I370"/>
    <mergeCell ref="N428:N430"/>
    <mergeCell ref="J419:J421"/>
    <mergeCell ref="K419:K421"/>
    <mergeCell ref="L419:L421"/>
    <mergeCell ref="M419:M421"/>
    <mergeCell ref="N419:N421"/>
    <mergeCell ref="J410:J413"/>
    <mergeCell ref="K410:K413"/>
    <mergeCell ref="L410:L413"/>
    <mergeCell ref="M410:M413"/>
    <mergeCell ref="N410:N413"/>
    <mergeCell ref="H405:I409"/>
    <mergeCell ref="O405:O409"/>
    <mergeCell ref="J401:J404"/>
    <mergeCell ref="K401:K404"/>
    <mergeCell ref="L401:L404"/>
    <mergeCell ref="M401:M404"/>
    <mergeCell ref="N401:N404"/>
    <mergeCell ref="L422:L427"/>
    <mergeCell ref="M422:M427"/>
    <mergeCell ref="N422:N427"/>
    <mergeCell ref="L414:L418"/>
    <mergeCell ref="O466:O469"/>
    <mergeCell ref="J457:J461"/>
    <mergeCell ref="K457:K461"/>
    <mergeCell ref="L457:L461"/>
    <mergeCell ref="M457:M461"/>
    <mergeCell ref="N457:N461"/>
    <mergeCell ref="J462:J465"/>
    <mergeCell ref="K462:K465"/>
    <mergeCell ref="L462:L465"/>
    <mergeCell ref="M462:M465"/>
    <mergeCell ref="N462:N465"/>
    <mergeCell ref="J450:J451"/>
    <mergeCell ref="K450:K451"/>
    <mergeCell ref="L450:L451"/>
    <mergeCell ref="M450:M451"/>
    <mergeCell ref="N450:N451"/>
    <mergeCell ref="J452:J456"/>
    <mergeCell ref="K452:K456"/>
    <mergeCell ref="L452:L456"/>
    <mergeCell ref="M452:M456"/>
    <mergeCell ref="N452:N456"/>
    <mergeCell ref="L466:L469"/>
    <mergeCell ref="M466:M469"/>
    <mergeCell ref="N466:N469"/>
    <mergeCell ref="L583:L585"/>
    <mergeCell ref="M583:M585"/>
    <mergeCell ref="N583:N585"/>
    <mergeCell ref="J610:J612"/>
    <mergeCell ref="K610:K612"/>
    <mergeCell ref="L610:L612"/>
    <mergeCell ref="M610:M612"/>
    <mergeCell ref="N610:N612"/>
    <mergeCell ref="J600:J603"/>
    <mergeCell ref="K600:K603"/>
    <mergeCell ref="L600:L603"/>
    <mergeCell ref="M600:M603"/>
    <mergeCell ref="N600:N603"/>
    <mergeCell ref="J604:J606"/>
    <mergeCell ref="K604:K606"/>
    <mergeCell ref="L604:L606"/>
    <mergeCell ref="M604:M606"/>
    <mergeCell ref="N604:N606"/>
    <mergeCell ref="N590:N594"/>
    <mergeCell ref="J595:J599"/>
    <mergeCell ref="K595:K599"/>
    <mergeCell ref="A45:A46"/>
    <mergeCell ref="B45:B46"/>
    <mergeCell ref="C45:C46"/>
    <mergeCell ref="F45:F46"/>
    <mergeCell ref="G45:G46"/>
    <mergeCell ref="H45:I46"/>
    <mergeCell ref="N579:N582"/>
    <mergeCell ref="J569:J573"/>
    <mergeCell ref="K569:K573"/>
    <mergeCell ref="L569:L573"/>
    <mergeCell ref="M569:M573"/>
    <mergeCell ref="N569:N573"/>
    <mergeCell ref="J574:J575"/>
    <mergeCell ref="K574:K575"/>
    <mergeCell ref="L574:L575"/>
    <mergeCell ref="M574:M575"/>
    <mergeCell ref="N574:N575"/>
    <mergeCell ref="L405:L409"/>
    <mergeCell ref="M405:M409"/>
    <mergeCell ref="N405:N409"/>
    <mergeCell ref="H466:I469"/>
    <mergeCell ref="H428:I430"/>
    <mergeCell ref="M414:M418"/>
    <mergeCell ref="N414:N418"/>
    <mergeCell ref="K405:K409"/>
    <mergeCell ref="H49:I49"/>
    <mergeCell ref="J45:J46"/>
    <mergeCell ref="M45:M46"/>
    <mergeCell ref="A466:A469"/>
    <mergeCell ref="B466:B469"/>
    <mergeCell ref="C466:C469"/>
    <mergeCell ref="D466:D469"/>
    <mergeCell ref="H34:I34"/>
    <mergeCell ref="H35:I35"/>
    <mergeCell ref="B36:B38"/>
    <mergeCell ref="C36:C38"/>
    <mergeCell ref="H36:I36"/>
    <mergeCell ref="H37:I37"/>
    <mergeCell ref="H38:I38"/>
    <mergeCell ref="A40:C40"/>
    <mergeCell ref="A41:S41"/>
    <mergeCell ref="A42:S42"/>
    <mergeCell ref="A43:A44"/>
    <mergeCell ref="B43:B44"/>
    <mergeCell ref="C43:C44"/>
    <mergeCell ref="D43:E44"/>
    <mergeCell ref="F43:F44"/>
    <mergeCell ref="G43:G44"/>
    <mergeCell ref="H43:I44"/>
    <mergeCell ref="K43:K44"/>
    <mergeCell ref="L43:L44"/>
    <mergeCell ref="N43:O44"/>
    <mergeCell ref="P43:P44"/>
    <mergeCell ref="Q43:Q44"/>
    <mergeCell ref="R43:R44"/>
    <mergeCell ref="S43:S44"/>
    <mergeCell ref="B47:B48"/>
    <mergeCell ref="C47:C48"/>
    <mergeCell ref="D47:E48"/>
    <mergeCell ref="F47:F48"/>
    <mergeCell ref="G47:G48"/>
    <mergeCell ref="H47:I48"/>
    <mergeCell ref="K47:K48"/>
    <mergeCell ref="L47:L48"/>
    <mergeCell ref="N47:O48"/>
    <mergeCell ref="P47:P48"/>
    <mergeCell ref="C50:C51"/>
    <mergeCell ref="D50:D51"/>
    <mergeCell ref="E50:E51"/>
    <mergeCell ref="F50:F51"/>
    <mergeCell ref="G50:G51"/>
    <mergeCell ref="H50:I51"/>
    <mergeCell ref="O50:O51"/>
    <mergeCell ref="P50:P51"/>
    <mergeCell ref="A53:C53"/>
    <mergeCell ref="A54:P54"/>
    <mergeCell ref="A55:A58"/>
    <mergeCell ref="B55:B58"/>
    <mergeCell ref="C55:C58"/>
    <mergeCell ref="D55:D58"/>
    <mergeCell ref="E55:E58"/>
    <mergeCell ref="F55:F58"/>
    <mergeCell ref="G55:G58"/>
    <mergeCell ref="H55:I58"/>
    <mergeCell ref="O55:O58"/>
    <mergeCell ref="A50:A51"/>
    <mergeCell ref="B50:B51"/>
    <mergeCell ref="A59:A62"/>
    <mergeCell ref="B59:B62"/>
    <mergeCell ref="C59:C62"/>
    <mergeCell ref="D59:D62"/>
    <mergeCell ref="E59:E62"/>
    <mergeCell ref="F59:F62"/>
    <mergeCell ref="G59:G62"/>
    <mergeCell ref="H59:I62"/>
    <mergeCell ref="O59:O62"/>
    <mergeCell ref="A63:A65"/>
    <mergeCell ref="B63:B65"/>
    <mergeCell ref="C63:C65"/>
    <mergeCell ref="D63:D65"/>
    <mergeCell ref="E63:E65"/>
    <mergeCell ref="F63:F65"/>
    <mergeCell ref="G63:G65"/>
    <mergeCell ref="H63:I65"/>
    <mergeCell ref="O63:O65"/>
    <mergeCell ref="J63:J65"/>
    <mergeCell ref="K63:K65"/>
    <mergeCell ref="L63:L65"/>
    <mergeCell ref="M63:M65"/>
    <mergeCell ref="N63:N65"/>
    <mergeCell ref="A66:A70"/>
    <mergeCell ref="B66:B70"/>
    <mergeCell ref="C66:C70"/>
    <mergeCell ref="D66:D70"/>
    <mergeCell ref="E66:E70"/>
    <mergeCell ref="F66:F70"/>
    <mergeCell ref="G66:G70"/>
    <mergeCell ref="H66:I70"/>
    <mergeCell ref="O66:O70"/>
    <mergeCell ref="O74:O79"/>
    <mergeCell ref="J74:J79"/>
    <mergeCell ref="K74:K79"/>
    <mergeCell ref="L74:L79"/>
    <mergeCell ref="M74:M79"/>
    <mergeCell ref="N74:N79"/>
    <mergeCell ref="O71:O73"/>
    <mergeCell ref="A80:A86"/>
    <mergeCell ref="B80:B86"/>
    <mergeCell ref="C80:C86"/>
    <mergeCell ref="D80:D86"/>
    <mergeCell ref="E80:E86"/>
    <mergeCell ref="F80:F86"/>
    <mergeCell ref="G80:G86"/>
    <mergeCell ref="H80:I86"/>
    <mergeCell ref="O80:O86"/>
    <mergeCell ref="A87:A91"/>
    <mergeCell ref="B87:B91"/>
    <mergeCell ref="C87:C91"/>
    <mergeCell ref="D87:D91"/>
    <mergeCell ref="E87:E91"/>
    <mergeCell ref="F87:F91"/>
    <mergeCell ref="G87:G91"/>
    <mergeCell ref="H87:I91"/>
    <mergeCell ref="O87:O91"/>
    <mergeCell ref="A96:A98"/>
    <mergeCell ref="B96:B98"/>
    <mergeCell ref="C96:C98"/>
    <mergeCell ref="D96:D98"/>
    <mergeCell ref="E96:E98"/>
    <mergeCell ref="F96:F98"/>
    <mergeCell ref="G96:G98"/>
    <mergeCell ref="H96:I98"/>
    <mergeCell ref="O96:O98"/>
    <mergeCell ref="A99:A100"/>
    <mergeCell ref="B99:B100"/>
    <mergeCell ref="C99:C100"/>
    <mergeCell ref="F99:F100"/>
    <mergeCell ref="G99:G100"/>
    <mergeCell ref="H99:I100"/>
    <mergeCell ref="A101:A105"/>
    <mergeCell ref="B101:B105"/>
    <mergeCell ref="C101:C105"/>
    <mergeCell ref="D101:D105"/>
    <mergeCell ref="E101:E105"/>
    <mergeCell ref="F101:F105"/>
    <mergeCell ref="G101:G105"/>
    <mergeCell ref="H101:I105"/>
    <mergeCell ref="O101:O105"/>
    <mergeCell ref="D99:D100"/>
    <mergeCell ref="E99:E100"/>
    <mergeCell ref="D119:D125"/>
    <mergeCell ref="E119:E125"/>
    <mergeCell ref="F119:F125"/>
    <mergeCell ref="G119:G125"/>
    <mergeCell ref="H119:I125"/>
    <mergeCell ref="O119:O125"/>
    <mergeCell ref="A126:A128"/>
    <mergeCell ref="B126:B128"/>
    <mergeCell ref="C126:C128"/>
    <mergeCell ref="D126:D128"/>
    <mergeCell ref="E126:E128"/>
    <mergeCell ref="F126:F128"/>
    <mergeCell ref="G126:G128"/>
    <mergeCell ref="H126:I128"/>
    <mergeCell ref="O126:O128"/>
    <mergeCell ref="A129:A133"/>
    <mergeCell ref="B129:B133"/>
    <mergeCell ref="C129:C133"/>
    <mergeCell ref="D129:D133"/>
    <mergeCell ref="E129:E133"/>
    <mergeCell ref="F129:F133"/>
    <mergeCell ref="G129:G133"/>
    <mergeCell ref="H129:I133"/>
    <mergeCell ref="O129:O133"/>
    <mergeCell ref="A119:A125"/>
    <mergeCell ref="B119:B125"/>
    <mergeCell ref="C119:C125"/>
    <mergeCell ref="O142:O148"/>
    <mergeCell ref="A149:A153"/>
    <mergeCell ref="B149:B153"/>
    <mergeCell ref="C149:C153"/>
    <mergeCell ref="D149:D153"/>
    <mergeCell ref="E149:E153"/>
    <mergeCell ref="F149:F153"/>
    <mergeCell ref="G149:G153"/>
    <mergeCell ref="H149:I153"/>
    <mergeCell ref="O149:O153"/>
    <mergeCell ref="J142:J148"/>
    <mergeCell ref="K142:K148"/>
    <mergeCell ref="L142:L148"/>
    <mergeCell ref="M142:M148"/>
    <mergeCell ref="N142:N148"/>
    <mergeCell ref="A179:A181"/>
    <mergeCell ref="B179:B181"/>
    <mergeCell ref="C179:C181"/>
    <mergeCell ref="D179:D181"/>
    <mergeCell ref="E179:E181"/>
    <mergeCell ref="F179:F181"/>
    <mergeCell ref="G179:G181"/>
    <mergeCell ref="H179:I181"/>
    <mergeCell ref="O179:O181"/>
    <mergeCell ref="A175:A178"/>
    <mergeCell ref="B175:B178"/>
    <mergeCell ref="C175:C178"/>
    <mergeCell ref="D175:D178"/>
    <mergeCell ref="E175:E178"/>
    <mergeCell ref="A170:A174"/>
    <mergeCell ref="B170:B174"/>
    <mergeCell ref="C170:C174"/>
    <mergeCell ref="D182:D188"/>
    <mergeCell ref="E182:E188"/>
    <mergeCell ref="H182:I188"/>
    <mergeCell ref="O182:O188"/>
    <mergeCell ref="D189:D193"/>
    <mergeCell ref="E189:E193"/>
    <mergeCell ref="H189:I193"/>
    <mergeCell ref="O189:O193"/>
    <mergeCell ref="N189:N193"/>
    <mergeCell ref="A189:A193"/>
    <mergeCell ref="B189:B193"/>
    <mergeCell ref="C189:C193"/>
    <mergeCell ref="F189:F193"/>
    <mergeCell ref="G189:G193"/>
    <mergeCell ref="A182:A188"/>
    <mergeCell ref="B182:B188"/>
    <mergeCell ref="C182:C188"/>
    <mergeCell ref="F182:F188"/>
    <mergeCell ref="G182:G188"/>
    <mergeCell ref="E201:E203"/>
    <mergeCell ref="F201:F203"/>
    <mergeCell ref="G201:G203"/>
    <mergeCell ref="H201:I203"/>
    <mergeCell ref="O201:O203"/>
    <mergeCell ref="A204:A207"/>
    <mergeCell ref="B204:B207"/>
    <mergeCell ref="C204:C207"/>
    <mergeCell ref="D204:D207"/>
    <mergeCell ref="E204:E207"/>
    <mergeCell ref="F204:F207"/>
    <mergeCell ref="G204:G207"/>
    <mergeCell ref="H204:I207"/>
    <mergeCell ref="O204:O207"/>
    <mergeCell ref="A208:A211"/>
    <mergeCell ref="B208:B211"/>
    <mergeCell ref="C208:C211"/>
    <mergeCell ref="D208:D211"/>
    <mergeCell ref="E208:E211"/>
    <mergeCell ref="F208:F211"/>
    <mergeCell ref="G208:G211"/>
    <mergeCell ref="H208:I211"/>
    <mergeCell ref="O208:O211"/>
    <mergeCell ref="J201:J203"/>
    <mergeCell ref="K201:K203"/>
    <mergeCell ref="L201:L203"/>
    <mergeCell ref="M201:M203"/>
    <mergeCell ref="N201:N203"/>
    <mergeCell ref="F212:F215"/>
    <mergeCell ref="G212:G215"/>
    <mergeCell ref="H212:I215"/>
    <mergeCell ref="O212:O215"/>
    <mergeCell ref="A216:A220"/>
    <mergeCell ref="B216:B220"/>
    <mergeCell ref="C216:C220"/>
    <mergeCell ref="D216:D220"/>
    <mergeCell ref="E216:E220"/>
    <mergeCell ref="F216:F220"/>
    <mergeCell ref="G216:G220"/>
    <mergeCell ref="H216:I220"/>
    <mergeCell ref="O216:O220"/>
    <mergeCell ref="D221:D224"/>
    <mergeCell ref="E221:E224"/>
    <mergeCell ref="H221:I224"/>
    <mergeCell ref="O221:O224"/>
    <mergeCell ref="A212:A215"/>
    <mergeCell ref="B212:B215"/>
    <mergeCell ref="C212:C215"/>
    <mergeCell ref="D212:D215"/>
    <mergeCell ref="E212:E215"/>
    <mergeCell ref="A239:A240"/>
    <mergeCell ref="B239:B240"/>
    <mergeCell ref="C239:C240"/>
    <mergeCell ref="D239:D240"/>
    <mergeCell ref="E239:E240"/>
    <mergeCell ref="F239:F240"/>
    <mergeCell ref="G239:G240"/>
    <mergeCell ref="H239:I240"/>
    <mergeCell ref="O239:O240"/>
    <mergeCell ref="A241:A244"/>
    <mergeCell ref="B241:B244"/>
    <mergeCell ref="C241:C244"/>
    <mergeCell ref="D241:D244"/>
    <mergeCell ref="E241:E244"/>
    <mergeCell ref="F241:F244"/>
    <mergeCell ref="G241:G244"/>
    <mergeCell ref="H241:I244"/>
    <mergeCell ref="O241:O244"/>
    <mergeCell ref="G257:G263"/>
    <mergeCell ref="H257:I263"/>
    <mergeCell ref="O257:O263"/>
    <mergeCell ref="A264:A268"/>
    <mergeCell ref="B264:B268"/>
    <mergeCell ref="C264:C268"/>
    <mergeCell ref="D264:D268"/>
    <mergeCell ref="E264:E268"/>
    <mergeCell ref="F264:F268"/>
    <mergeCell ref="G264:G268"/>
    <mergeCell ref="H264:I268"/>
    <mergeCell ref="O264:O268"/>
    <mergeCell ref="J264:J268"/>
    <mergeCell ref="K264:K268"/>
    <mergeCell ref="L264:L268"/>
    <mergeCell ref="M264:M268"/>
    <mergeCell ref="N264:N268"/>
    <mergeCell ref="A271:A272"/>
    <mergeCell ref="B271:B272"/>
    <mergeCell ref="C271:C272"/>
    <mergeCell ref="D271:E272"/>
    <mergeCell ref="F271:F272"/>
    <mergeCell ref="G271:G272"/>
    <mergeCell ref="H271:I272"/>
    <mergeCell ref="K271:K272"/>
    <mergeCell ref="L271:L272"/>
    <mergeCell ref="N271:O272"/>
    <mergeCell ref="A273:A276"/>
    <mergeCell ref="B273:B276"/>
    <mergeCell ref="C273:C276"/>
    <mergeCell ref="D273:D276"/>
    <mergeCell ref="E273:E276"/>
    <mergeCell ref="F273:F276"/>
    <mergeCell ref="G273:G276"/>
    <mergeCell ref="H273:I276"/>
    <mergeCell ref="O273:O276"/>
    <mergeCell ref="D277:D279"/>
    <mergeCell ref="E277:E279"/>
    <mergeCell ref="F277:F279"/>
    <mergeCell ref="G277:G279"/>
    <mergeCell ref="H277:I279"/>
    <mergeCell ref="O277:O279"/>
    <mergeCell ref="A280:A288"/>
    <mergeCell ref="B280:B288"/>
    <mergeCell ref="C280:C288"/>
    <mergeCell ref="D280:D288"/>
    <mergeCell ref="E280:E288"/>
    <mergeCell ref="F280:F288"/>
    <mergeCell ref="G280:G288"/>
    <mergeCell ref="H280:I288"/>
    <mergeCell ref="O280:O288"/>
    <mergeCell ref="A289:A295"/>
    <mergeCell ref="B289:B295"/>
    <mergeCell ref="C289:C295"/>
    <mergeCell ref="D289:D295"/>
    <mergeCell ref="E289:E295"/>
    <mergeCell ref="F289:F295"/>
    <mergeCell ref="G289:G295"/>
    <mergeCell ref="H289:I295"/>
    <mergeCell ref="O289:O295"/>
    <mergeCell ref="J280:J288"/>
    <mergeCell ref="K280:K288"/>
    <mergeCell ref="L280:L288"/>
    <mergeCell ref="M280:M288"/>
    <mergeCell ref="N280:N288"/>
    <mergeCell ref="A277:A279"/>
    <mergeCell ref="B277:B279"/>
    <mergeCell ref="C277:C279"/>
    <mergeCell ref="A304:A306"/>
    <mergeCell ref="B304:B306"/>
    <mergeCell ref="C304:C306"/>
    <mergeCell ref="D304:D306"/>
    <mergeCell ref="E304:E306"/>
    <mergeCell ref="F304:F306"/>
    <mergeCell ref="G304:G306"/>
    <mergeCell ref="H304:I306"/>
    <mergeCell ref="O304:O306"/>
    <mergeCell ref="A307:A308"/>
    <mergeCell ref="B307:B308"/>
    <mergeCell ref="C307:C308"/>
    <mergeCell ref="D307:D308"/>
    <mergeCell ref="E307:E308"/>
    <mergeCell ref="F307:F308"/>
    <mergeCell ref="G307:G308"/>
    <mergeCell ref="H307:I308"/>
    <mergeCell ref="O307:O308"/>
    <mergeCell ref="J304:J306"/>
    <mergeCell ref="K304:K306"/>
    <mergeCell ref="L304:L306"/>
    <mergeCell ref="M304:M306"/>
    <mergeCell ref="N304:N306"/>
    <mergeCell ref="A309:A313"/>
    <mergeCell ref="B309:B313"/>
    <mergeCell ref="C309:C313"/>
    <mergeCell ref="D309:D313"/>
    <mergeCell ref="E309:E313"/>
    <mergeCell ref="F309:F313"/>
    <mergeCell ref="G309:G313"/>
    <mergeCell ref="H309:I313"/>
    <mergeCell ref="O309:O313"/>
    <mergeCell ref="A314:A319"/>
    <mergeCell ref="B314:B319"/>
    <mergeCell ref="C314:C319"/>
    <mergeCell ref="D314:D319"/>
    <mergeCell ref="E314:E319"/>
    <mergeCell ref="F314:F319"/>
    <mergeCell ref="G314:G319"/>
    <mergeCell ref="H314:I319"/>
    <mergeCell ref="O314:O319"/>
    <mergeCell ref="J314:J319"/>
    <mergeCell ref="K314:K319"/>
    <mergeCell ref="L314:L319"/>
    <mergeCell ref="M314:M319"/>
    <mergeCell ref="N314:N319"/>
    <mergeCell ref="J309:J313"/>
    <mergeCell ref="K309:K313"/>
    <mergeCell ref="L309:L313"/>
    <mergeCell ref="M309:M313"/>
    <mergeCell ref="N309:N313"/>
    <mergeCell ref="D320:D326"/>
    <mergeCell ref="E320:E326"/>
    <mergeCell ref="F320:F326"/>
    <mergeCell ref="G320:G326"/>
    <mergeCell ref="H320:I326"/>
    <mergeCell ref="O320:O326"/>
    <mergeCell ref="D327:D333"/>
    <mergeCell ref="E327:E333"/>
    <mergeCell ref="H327:I333"/>
    <mergeCell ref="O327:O333"/>
    <mergeCell ref="A334:A341"/>
    <mergeCell ref="B334:B341"/>
    <mergeCell ref="C334:C341"/>
    <mergeCell ref="D334:D341"/>
    <mergeCell ref="E334:E341"/>
    <mergeCell ref="F334:F341"/>
    <mergeCell ref="G334:G341"/>
    <mergeCell ref="H334:I341"/>
    <mergeCell ref="O334:O341"/>
    <mergeCell ref="A327:A333"/>
    <mergeCell ref="B327:B333"/>
    <mergeCell ref="C327:C333"/>
    <mergeCell ref="F327:F333"/>
    <mergeCell ref="G327:G333"/>
    <mergeCell ref="J320:J326"/>
    <mergeCell ref="K320:K326"/>
    <mergeCell ref="L320:L326"/>
    <mergeCell ref="M320:M326"/>
    <mergeCell ref="N320:N326"/>
    <mergeCell ref="A320:A326"/>
    <mergeCell ref="B320:B326"/>
    <mergeCell ref="C320:C326"/>
    <mergeCell ref="A351:A354"/>
    <mergeCell ref="B351:B354"/>
    <mergeCell ref="C351:C354"/>
    <mergeCell ref="D351:E354"/>
    <mergeCell ref="F351:F354"/>
    <mergeCell ref="G351:G354"/>
    <mergeCell ref="H351:I354"/>
    <mergeCell ref="K351:K354"/>
    <mergeCell ref="L351:L354"/>
    <mergeCell ref="N351:O354"/>
    <mergeCell ref="A355:A359"/>
    <mergeCell ref="B355:B359"/>
    <mergeCell ref="C355:C359"/>
    <mergeCell ref="D355:D359"/>
    <mergeCell ref="E355:E359"/>
    <mergeCell ref="F355:F359"/>
    <mergeCell ref="G355:G359"/>
    <mergeCell ref="H355:I359"/>
    <mergeCell ref="O355:O359"/>
    <mergeCell ref="H371:I371"/>
    <mergeCell ref="H372:I372"/>
    <mergeCell ref="H373:I373"/>
    <mergeCell ref="H374:I374"/>
    <mergeCell ref="A376:S376"/>
    <mergeCell ref="B377:B378"/>
    <mergeCell ref="C377:C378"/>
    <mergeCell ref="H377:I377"/>
    <mergeCell ref="H378:I378"/>
    <mergeCell ref="B379:B384"/>
    <mergeCell ref="C379:C384"/>
    <mergeCell ref="H379:I379"/>
    <mergeCell ref="H380:I380"/>
    <mergeCell ref="H381:I381"/>
    <mergeCell ref="H382:I382"/>
    <mergeCell ref="H383:I383"/>
    <mergeCell ref="H384:I384"/>
    <mergeCell ref="B386:B387"/>
    <mergeCell ref="C386:C387"/>
    <mergeCell ref="H386:I386"/>
    <mergeCell ref="H387:I387"/>
    <mergeCell ref="B388:B389"/>
    <mergeCell ref="C388:C389"/>
    <mergeCell ref="H388:I388"/>
    <mergeCell ref="H389:I389"/>
    <mergeCell ref="H390:I390"/>
    <mergeCell ref="A391:C391"/>
    <mergeCell ref="A392:S392"/>
    <mergeCell ref="A393:S393"/>
    <mergeCell ref="H394:I394"/>
    <mergeCell ref="H395:I395"/>
    <mergeCell ref="H396:I396"/>
    <mergeCell ref="H397:I397"/>
    <mergeCell ref="H398:I398"/>
    <mergeCell ref="A410:A413"/>
    <mergeCell ref="B410:B413"/>
    <mergeCell ref="C410:C413"/>
    <mergeCell ref="D410:D413"/>
    <mergeCell ref="E410:E413"/>
    <mergeCell ref="F410:F413"/>
    <mergeCell ref="G410:G413"/>
    <mergeCell ref="H410:I413"/>
    <mergeCell ref="O410:O413"/>
    <mergeCell ref="A414:A418"/>
    <mergeCell ref="B414:B418"/>
    <mergeCell ref="C414:C418"/>
    <mergeCell ref="D414:D418"/>
    <mergeCell ref="E414:E418"/>
    <mergeCell ref="F414:F418"/>
    <mergeCell ref="G414:G418"/>
    <mergeCell ref="H414:I418"/>
    <mergeCell ref="O414:O418"/>
    <mergeCell ref="A419:A421"/>
    <mergeCell ref="B419:B421"/>
    <mergeCell ref="C419:C421"/>
    <mergeCell ref="D419:D421"/>
    <mergeCell ref="E419:E421"/>
    <mergeCell ref="F419:F421"/>
    <mergeCell ref="G419:G421"/>
    <mergeCell ref="H419:I421"/>
    <mergeCell ref="O419:O421"/>
    <mergeCell ref="A422:A427"/>
    <mergeCell ref="B422:B427"/>
    <mergeCell ref="C422:C427"/>
    <mergeCell ref="D422:D427"/>
    <mergeCell ref="E422:E427"/>
    <mergeCell ref="F422:F427"/>
    <mergeCell ref="G422:G427"/>
    <mergeCell ref="H422:I427"/>
    <mergeCell ref="O422:O427"/>
    <mergeCell ref="G438:G442"/>
    <mergeCell ref="H438:I442"/>
    <mergeCell ref="O438:O442"/>
    <mergeCell ref="J431:J437"/>
    <mergeCell ref="K431:K437"/>
    <mergeCell ref="L431:L437"/>
    <mergeCell ref="M431:M437"/>
    <mergeCell ref="N431:N437"/>
    <mergeCell ref="J438:J442"/>
    <mergeCell ref="K438:K442"/>
    <mergeCell ref="L438:L442"/>
    <mergeCell ref="M438:M442"/>
    <mergeCell ref="N438:N442"/>
    <mergeCell ref="A443:A446"/>
    <mergeCell ref="B443:B446"/>
    <mergeCell ref="C443:C446"/>
    <mergeCell ref="D443:D446"/>
    <mergeCell ref="E443:E446"/>
    <mergeCell ref="F443:F446"/>
    <mergeCell ref="G443:G446"/>
    <mergeCell ref="H443:I446"/>
    <mergeCell ref="O443:O446"/>
    <mergeCell ref="A447:A449"/>
    <mergeCell ref="B447:B449"/>
    <mergeCell ref="C447:C449"/>
    <mergeCell ref="D447:D449"/>
    <mergeCell ref="E447:E449"/>
    <mergeCell ref="F447:F449"/>
    <mergeCell ref="G447:G449"/>
    <mergeCell ref="H447:I449"/>
    <mergeCell ref="O447:O449"/>
    <mergeCell ref="K443:K446"/>
    <mergeCell ref="L443:L446"/>
    <mergeCell ref="M443:M446"/>
    <mergeCell ref="N443:N446"/>
    <mergeCell ref="J447:J449"/>
    <mergeCell ref="K447:K449"/>
    <mergeCell ref="L447:L449"/>
    <mergeCell ref="M447:M449"/>
    <mergeCell ref="N447:N449"/>
    <mergeCell ref="A450:A451"/>
    <mergeCell ref="B450:B451"/>
    <mergeCell ref="C450:C451"/>
    <mergeCell ref="D450:D451"/>
    <mergeCell ref="E450:E451"/>
    <mergeCell ref="F450:F451"/>
    <mergeCell ref="G450:G451"/>
    <mergeCell ref="H450:I451"/>
    <mergeCell ref="O450:O451"/>
    <mergeCell ref="A452:A456"/>
    <mergeCell ref="B452:B456"/>
    <mergeCell ref="C452:C456"/>
    <mergeCell ref="D452:D456"/>
    <mergeCell ref="E452:E456"/>
    <mergeCell ref="F452:F456"/>
    <mergeCell ref="G452:G456"/>
    <mergeCell ref="H452:I456"/>
    <mergeCell ref="O452:O456"/>
    <mergeCell ref="A457:A461"/>
    <mergeCell ref="B457:B461"/>
    <mergeCell ref="C457:C461"/>
    <mergeCell ref="D457:D461"/>
    <mergeCell ref="E457:E461"/>
    <mergeCell ref="F457:F461"/>
    <mergeCell ref="G457:G461"/>
    <mergeCell ref="H457:I461"/>
    <mergeCell ref="O457:O461"/>
    <mergeCell ref="A462:A465"/>
    <mergeCell ref="B462:B465"/>
    <mergeCell ref="C462:C465"/>
    <mergeCell ref="D462:D465"/>
    <mergeCell ref="E462:E465"/>
    <mergeCell ref="F462:F465"/>
    <mergeCell ref="G462:G465"/>
    <mergeCell ref="H462:I465"/>
    <mergeCell ref="O462:O465"/>
    <mergeCell ref="A470:A476"/>
    <mergeCell ref="B470:B476"/>
    <mergeCell ref="C470:C476"/>
    <mergeCell ref="D470:D476"/>
    <mergeCell ref="E470:E476"/>
    <mergeCell ref="F470:F476"/>
    <mergeCell ref="G470:G476"/>
    <mergeCell ref="H470:I476"/>
    <mergeCell ref="O470:O476"/>
    <mergeCell ref="A477:A479"/>
    <mergeCell ref="B477:B479"/>
    <mergeCell ref="C477:C479"/>
    <mergeCell ref="D477:D479"/>
    <mergeCell ref="E477:E479"/>
    <mergeCell ref="F477:F479"/>
    <mergeCell ref="G477:G479"/>
    <mergeCell ref="H477:I479"/>
    <mergeCell ref="O477:O479"/>
    <mergeCell ref="J477:J479"/>
    <mergeCell ref="K477:K479"/>
    <mergeCell ref="L477:L479"/>
    <mergeCell ref="M477:M479"/>
    <mergeCell ref="N477:N479"/>
    <mergeCell ref="J470:J476"/>
    <mergeCell ref="K470:K476"/>
    <mergeCell ref="L470:L476"/>
    <mergeCell ref="M470:M476"/>
    <mergeCell ref="N470:N476"/>
    <mergeCell ref="B480:B484"/>
    <mergeCell ref="C480:C484"/>
    <mergeCell ref="D480:D484"/>
    <mergeCell ref="E480:E484"/>
    <mergeCell ref="F480:F484"/>
    <mergeCell ref="G480:G484"/>
    <mergeCell ref="H480:I484"/>
    <mergeCell ref="O480:O484"/>
    <mergeCell ref="A485:A492"/>
    <mergeCell ref="B485:B492"/>
    <mergeCell ref="C485:C492"/>
    <mergeCell ref="D485:D492"/>
    <mergeCell ref="E485:E492"/>
    <mergeCell ref="F485:F492"/>
    <mergeCell ref="G485:G492"/>
    <mergeCell ref="H485:I492"/>
    <mergeCell ref="O485:O492"/>
    <mergeCell ref="J480:J484"/>
    <mergeCell ref="K480:K484"/>
    <mergeCell ref="L480:L484"/>
    <mergeCell ref="M480:M484"/>
    <mergeCell ref="N480:N484"/>
    <mergeCell ref="L485:L492"/>
    <mergeCell ref="M485:M492"/>
    <mergeCell ref="N485:N492"/>
    <mergeCell ref="A480:A484"/>
    <mergeCell ref="A493:A499"/>
    <mergeCell ref="B493:B499"/>
    <mergeCell ref="C493:C499"/>
    <mergeCell ref="D493:D499"/>
    <mergeCell ref="E493:E499"/>
    <mergeCell ref="F493:F499"/>
    <mergeCell ref="G493:G499"/>
    <mergeCell ref="H493:I499"/>
    <mergeCell ref="O493:O499"/>
    <mergeCell ref="A500:A502"/>
    <mergeCell ref="B500:B502"/>
    <mergeCell ref="C500:C502"/>
    <mergeCell ref="D500:D502"/>
    <mergeCell ref="E500:E502"/>
    <mergeCell ref="F500:F502"/>
    <mergeCell ref="G500:G502"/>
    <mergeCell ref="H500:I502"/>
    <mergeCell ref="O500:O502"/>
    <mergeCell ref="J493:J499"/>
    <mergeCell ref="K493:K499"/>
    <mergeCell ref="L493:L499"/>
    <mergeCell ref="M493:M499"/>
    <mergeCell ref="N493:N499"/>
    <mergeCell ref="J500:J502"/>
    <mergeCell ref="K500:K502"/>
    <mergeCell ref="L500:L502"/>
    <mergeCell ref="M500:M502"/>
    <mergeCell ref="N500:N502"/>
    <mergeCell ref="A503:A507"/>
    <mergeCell ref="B503:B507"/>
    <mergeCell ref="C503:C507"/>
    <mergeCell ref="D503:D507"/>
    <mergeCell ref="E503:E507"/>
    <mergeCell ref="F503:F507"/>
    <mergeCell ref="G503:G507"/>
    <mergeCell ref="H503:I507"/>
    <mergeCell ref="O503:O507"/>
    <mergeCell ref="A508:A510"/>
    <mergeCell ref="B508:B510"/>
    <mergeCell ref="C508:C510"/>
    <mergeCell ref="D508:D510"/>
    <mergeCell ref="E508:E510"/>
    <mergeCell ref="F508:F510"/>
    <mergeCell ref="G508:G510"/>
    <mergeCell ref="H508:I510"/>
    <mergeCell ref="O508:O510"/>
    <mergeCell ref="J508:J510"/>
    <mergeCell ref="K508:K510"/>
    <mergeCell ref="L508:L510"/>
    <mergeCell ref="M508:M510"/>
    <mergeCell ref="N508:N510"/>
    <mergeCell ref="J503:J507"/>
    <mergeCell ref="K503:K507"/>
    <mergeCell ref="L503:L507"/>
    <mergeCell ref="M503:M507"/>
    <mergeCell ref="N503:N507"/>
    <mergeCell ref="A511:A515"/>
    <mergeCell ref="B511:B515"/>
    <mergeCell ref="C511:C515"/>
    <mergeCell ref="D511:D515"/>
    <mergeCell ref="E511:E515"/>
    <mergeCell ref="F511:F515"/>
    <mergeCell ref="G511:G515"/>
    <mergeCell ref="H511:I515"/>
    <mergeCell ref="O511:O515"/>
    <mergeCell ref="A516:A519"/>
    <mergeCell ref="B516:B519"/>
    <mergeCell ref="C516:C519"/>
    <mergeCell ref="D516:D519"/>
    <mergeCell ref="E516:E519"/>
    <mergeCell ref="F516:F519"/>
    <mergeCell ref="G516:G519"/>
    <mergeCell ref="H516:I519"/>
    <mergeCell ref="O516:O519"/>
    <mergeCell ref="J511:J515"/>
    <mergeCell ref="K511:K515"/>
    <mergeCell ref="L511:L515"/>
    <mergeCell ref="M511:M515"/>
    <mergeCell ref="N511:N515"/>
    <mergeCell ref="L516:L519"/>
    <mergeCell ref="M516:M519"/>
    <mergeCell ref="N516:N519"/>
    <mergeCell ref="A520:A523"/>
    <mergeCell ref="B520:B523"/>
    <mergeCell ref="C520:C523"/>
    <mergeCell ref="D520:D523"/>
    <mergeCell ref="E520:E523"/>
    <mergeCell ref="F520:F523"/>
    <mergeCell ref="G520:G523"/>
    <mergeCell ref="H520:I523"/>
    <mergeCell ref="O520:O523"/>
    <mergeCell ref="A524:A528"/>
    <mergeCell ref="B524:B528"/>
    <mergeCell ref="C524:C528"/>
    <mergeCell ref="D524:D528"/>
    <mergeCell ref="E524:E528"/>
    <mergeCell ref="F524:F528"/>
    <mergeCell ref="G524:G528"/>
    <mergeCell ref="H524:I528"/>
    <mergeCell ref="O524:O528"/>
    <mergeCell ref="M524:M528"/>
    <mergeCell ref="N524:N528"/>
    <mergeCell ref="J520:J523"/>
    <mergeCell ref="K520:K523"/>
    <mergeCell ref="L520:L523"/>
    <mergeCell ref="M520:M523"/>
    <mergeCell ref="N520:N523"/>
    <mergeCell ref="L524:L528"/>
    <mergeCell ref="D529:D532"/>
    <mergeCell ref="E529:E532"/>
    <mergeCell ref="H529:I532"/>
    <mergeCell ref="O529:O532"/>
    <mergeCell ref="A533:A536"/>
    <mergeCell ref="B533:B536"/>
    <mergeCell ref="C533:C536"/>
    <mergeCell ref="F533:F536"/>
    <mergeCell ref="G533:G536"/>
    <mergeCell ref="H533:I536"/>
    <mergeCell ref="A537:A541"/>
    <mergeCell ref="B537:B541"/>
    <mergeCell ref="C537:C541"/>
    <mergeCell ref="D537:D541"/>
    <mergeCell ref="E537:E541"/>
    <mergeCell ref="F537:F541"/>
    <mergeCell ref="G537:G541"/>
    <mergeCell ref="H537:I541"/>
    <mergeCell ref="O537:O541"/>
    <mergeCell ref="J537:J541"/>
    <mergeCell ref="K537:K541"/>
    <mergeCell ref="L537:L541"/>
    <mergeCell ref="M537:M541"/>
    <mergeCell ref="N537:N541"/>
    <mergeCell ref="N529:N532"/>
    <mergeCell ref="L529:L532"/>
    <mergeCell ref="M529:M532"/>
    <mergeCell ref="J529:J532"/>
    <mergeCell ref="K529:K532"/>
    <mergeCell ref="A529:A532"/>
    <mergeCell ref="B529:B532"/>
    <mergeCell ref="C529:C532"/>
    <mergeCell ref="A542:A546"/>
    <mergeCell ref="B542:B546"/>
    <mergeCell ref="C542:C546"/>
    <mergeCell ref="D542:D546"/>
    <mergeCell ref="E542:E546"/>
    <mergeCell ref="F542:F546"/>
    <mergeCell ref="G542:G546"/>
    <mergeCell ref="H542:I546"/>
    <mergeCell ref="O542:O546"/>
    <mergeCell ref="A547:A551"/>
    <mergeCell ref="B547:B551"/>
    <mergeCell ref="C547:C551"/>
    <mergeCell ref="D547:D551"/>
    <mergeCell ref="E547:E551"/>
    <mergeCell ref="F547:F551"/>
    <mergeCell ref="G547:G551"/>
    <mergeCell ref="H547:I551"/>
    <mergeCell ref="O547:O551"/>
    <mergeCell ref="J542:J546"/>
    <mergeCell ref="K542:K546"/>
    <mergeCell ref="L542:L546"/>
    <mergeCell ref="M542:M546"/>
    <mergeCell ref="N542:N546"/>
    <mergeCell ref="J547:J551"/>
    <mergeCell ref="K547:K551"/>
    <mergeCell ref="L547:L551"/>
    <mergeCell ref="M547:M551"/>
    <mergeCell ref="N547:N551"/>
    <mergeCell ref="B552:B556"/>
    <mergeCell ref="C552:C556"/>
    <mergeCell ref="D552:D556"/>
    <mergeCell ref="E552:E556"/>
    <mergeCell ref="F552:F556"/>
    <mergeCell ref="G552:G556"/>
    <mergeCell ref="H552:I556"/>
    <mergeCell ref="O552:O556"/>
    <mergeCell ref="A557:A561"/>
    <mergeCell ref="B557:B561"/>
    <mergeCell ref="C557:C561"/>
    <mergeCell ref="D557:D561"/>
    <mergeCell ref="E557:E561"/>
    <mergeCell ref="F557:F561"/>
    <mergeCell ref="G557:G561"/>
    <mergeCell ref="H557:I561"/>
    <mergeCell ref="O557:O561"/>
    <mergeCell ref="J557:J561"/>
    <mergeCell ref="K557:K561"/>
    <mergeCell ref="L557:L561"/>
    <mergeCell ref="M557:M561"/>
    <mergeCell ref="N557:N561"/>
    <mergeCell ref="A562:A563"/>
    <mergeCell ref="B562:B563"/>
    <mergeCell ref="C562:C563"/>
    <mergeCell ref="D562:D563"/>
    <mergeCell ref="E562:E563"/>
    <mergeCell ref="F562:F563"/>
    <mergeCell ref="G562:G563"/>
    <mergeCell ref="H562:I563"/>
    <mergeCell ref="O562:O563"/>
    <mergeCell ref="A564:A568"/>
    <mergeCell ref="B564:B568"/>
    <mergeCell ref="C564:C568"/>
    <mergeCell ref="D564:D568"/>
    <mergeCell ref="E564:E568"/>
    <mergeCell ref="F564:F568"/>
    <mergeCell ref="G564:G568"/>
    <mergeCell ref="H564:I568"/>
    <mergeCell ref="O564:O568"/>
    <mergeCell ref="J562:J563"/>
    <mergeCell ref="K562:K563"/>
    <mergeCell ref="L562:L563"/>
    <mergeCell ref="M562:M563"/>
    <mergeCell ref="N562:N563"/>
    <mergeCell ref="J564:J568"/>
    <mergeCell ref="K564:K568"/>
    <mergeCell ref="L564:L568"/>
    <mergeCell ref="M564:M568"/>
    <mergeCell ref="N564:N568"/>
    <mergeCell ref="A569:A573"/>
    <mergeCell ref="B569:B573"/>
    <mergeCell ref="C569:C573"/>
    <mergeCell ref="D569:D573"/>
    <mergeCell ref="E569:E573"/>
    <mergeCell ref="F569:F573"/>
    <mergeCell ref="G569:G573"/>
    <mergeCell ref="H569:I573"/>
    <mergeCell ref="O569:O573"/>
    <mergeCell ref="A574:A575"/>
    <mergeCell ref="B574:B575"/>
    <mergeCell ref="C574:C575"/>
    <mergeCell ref="D574:D575"/>
    <mergeCell ref="E574:E575"/>
    <mergeCell ref="F574:F575"/>
    <mergeCell ref="G574:G575"/>
    <mergeCell ref="H574:I575"/>
    <mergeCell ref="O574:O575"/>
    <mergeCell ref="A576:A578"/>
    <mergeCell ref="B576:B578"/>
    <mergeCell ref="C576:C578"/>
    <mergeCell ref="D576:D578"/>
    <mergeCell ref="E576:E578"/>
    <mergeCell ref="F576:F578"/>
    <mergeCell ref="G576:G578"/>
    <mergeCell ref="H576:I578"/>
    <mergeCell ref="O576:O578"/>
    <mergeCell ref="A579:A582"/>
    <mergeCell ref="B579:B582"/>
    <mergeCell ref="C579:C582"/>
    <mergeCell ref="D579:D582"/>
    <mergeCell ref="E579:E582"/>
    <mergeCell ref="F579:F582"/>
    <mergeCell ref="G579:G582"/>
    <mergeCell ref="H579:I582"/>
    <mergeCell ref="O579:O582"/>
    <mergeCell ref="A586:A589"/>
    <mergeCell ref="B586:B589"/>
    <mergeCell ref="C586:C589"/>
    <mergeCell ref="D586:D589"/>
    <mergeCell ref="E586:E589"/>
    <mergeCell ref="F586:F589"/>
    <mergeCell ref="G586:G589"/>
    <mergeCell ref="H586:I589"/>
    <mergeCell ref="O586:O589"/>
    <mergeCell ref="A590:A594"/>
    <mergeCell ref="B590:B594"/>
    <mergeCell ref="C590:C594"/>
    <mergeCell ref="D590:D594"/>
    <mergeCell ref="E590:E594"/>
    <mergeCell ref="F590:F594"/>
    <mergeCell ref="G590:G594"/>
    <mergeCell ref="H590:I594"/>
    <mergeCell ref="O590:O594"/>
    <mergeCell ref="J586:J589"/>
    <mergeCell ref="K586:K589"/>
    <mergeCell ref="L586:L589"/>
    <mergeCell ref="M586:M589"/>
    <mergeCell ref="N586:N589"/>
    <mergeCell ref="L590:L594"/>
    <mergeCell ref="M590:M594"/>
    <mergeCell ref="A595:A599"/>
    <mergeCell ref="B595:B599"/>
    <mergeCell ref="C595:C599"/>
    <mergeCell ref="D595:D599"/>
    <mergeCell ref="E595:E599"/>
    <mergeCell ref="F595:F599"/>
    <mergeCell ref="G595:G599"/>
    <mergeCell ref="H595:I599"/>
    <mergeCell ref="O595:O599"/>
    <mergeCell ref="A600:A603"/>
    <mergeCell ref="B600:B603"/>
    <mergeCell ref="C600:C603"/>
    <mergeCell ref="D600:D603"/>
    <mergeCell ref="E600:E603"/>
    <mergeCell ref="F600:F603"/>
    <mergeCell ref="G600:G603"/>
    <mergeCell ref="H600:I603"/>
    <mergeCell ref="O600:O603"/>
    <mergeCell ref="L595:L599"/>
    <mergeCell ref="M595:M599"/>
    <mergeCell ref="N595:N599"/>
    <mergeCell ref="A610:A612"/>
    <mergeCell ref="B610:B612"/>
    <mergeCell ref="C610:C612"/>
    <mergeCell ref="D610:D612"/>
    <mergeCell ref="E610:E612"/>
    <mergeCell ref="F610:F612"/>
    <mergeCell ref="G610:G612"/>
    <mergeCell ref="H610:I612"/>
    <mergeCell ref="O610:O612"/>
    <mergeCell ref="A604:A606"/>
    <mergeCell ref="B604:B606"/>
    <mergeCell ref="C604:C606"/>
    <mergeCell ref="D604:D606"/>
    <mergeCell ref="E604:E606"/>
    <mergeCell ref="F604:F606"/>
    <mergeCell ref="G604:G606"/>
    <mergeCell ref="H604:I606"/>
    <mergeCell ref="O604:O606"/>
    <mergeCell ref="A607:A609"/>
    <mergeCell ref="B607:B609"/>
    <mergeCell ref="C607:C609"/>
    <mergeCell ref="D607:D609"/>
    <mergeCell ref="E607:E609"/>
    <mergeCell ref="F607:F609"/>
    <mergeCell ref="G607:G609"/>
    <mergeCell ref="H607:I609"/>
    <mergeCell ref="O607:O609"/>
    <mergeCell ref="J607:J609"/>
    <mergeCell ref="K607:K609"/>
    <mergeCell ref="L607:L609"/>
    <mergeCell ref="M607:M609"/>
    <mergeCell ref="N607:N609"/>
  </mergeCells>
  <pageMargins left="0.9055118110236221" right="0.70866141732283472" top="0.74803149606299213" bottom="0.74803149606299213" header="0.31496062992125984" footer="0.31496062992125984"/>
  <pageSetup paperSize="8" scale="48" fitToWidth="2" fitToHeight="30" orientation="portrait" r:id="rId1"/>
  <headerFooter>
    <oddHeader>&amp;C&amp;"Arial Black,полужирный"&amp;16&amp;P</oddHeader>
  </headerFooter>
  <rowBreaks count="12" manualBreakCount="12">
    <brk id="24" max="18" man="1"/>
    <brk id="85" max="18" man="1"/>
    <brk id="181" max="18" man="1"/>
    <brk id="210" max="18" man="1"/>
    <brk id="241" max="18" man="1"/>
    <brk id="299" max="18" man="1"/>
    <brk id="326" max="18" man="1"/>
    <brk id="376" max="18" man="1"/>
    <brk id="408" max="18" man="1"/>
    <brk id="480" max="18" man="1"/>
    <brk id="518" max="18" man="1"/>
    <brk id="548" max="18" man="1"/>
  </rowBreaks>
</worksheet>
</file>

<file path=xl/worksheets/sheet6.xml><?xml version="1.0" encoding="utf-8"?>
<worksheet xmlns="http://schemas.openxmlformats.org/spreadsheetml/2006/main" xmlns:r="http://schemas.openxmlformats.org/officeDocument/2006/relationships">
  <dimension ref="A1:R520"/>
  <sheetViews>
    <sheetView view="pageBreakPreview" topLeftCell="A81" zoomScale="115" zoomScaleNormal="100" zoomScaleSheetLayoutView="115" zoomScalePageLayoutView="40" workbookViewId="0">
      <selection activeCell="F516" sqref="F516"/>
    </sheetView>
  </sheetViews>
  <sheetFormatPr defaultRowHeight="15"/>
  <cols>
    <col min="1" max="1" width="5.5703125" customWidth="1"/>
    <col min="2" max="2" width="7.5703125" customWidth="1"/>
    <col min="3" max="3" width="51.7109375" customWidth="1"/>
    <col min="4" max="4" width="15.42578125" style="296" customWidth="1"/>
    <col min="5" max="5" width="8.28515625" style="296" customWidth="1"/>
    <col min="6" max="6" width="9.140625" customWidth="1"/>
    <col min="7" max="7" width="14.140625" customWidth="1"/>
    <col min="8" max="8" width="9.42578125" style="296" customWidth="1"/>
    <col min="9" max="9" width="11" customWidth="1"/>
    <col min="10" max="10" width="8.42578125" style="452" customWidth="1"/>
    <col min="11" max="11" width="9.42578125" customWidth="1"/>
    <col min="12" max="12" width="8.85546875" style="296" customWidth="1"/>
    <col min="13" max="13" width="12.140625" customWidth="1"/>
    <col min="14" max="14" width="12.42578125" style="296" customWidth="1"/>
    <col min="15" max="15" width="12.5703125" customWidth="1"/>
    <col min="16" max="16" width="11.42578125" customWidth="1"/>
  </cols>
  <sheetData>
    <row r="1" spans="1:17" ht="55.5" customHeight="1">
      <c r="A1" s="1482" t="s">
        <v>3500</v>
      </c>
      <c r="B1" s="1482"/>
      <c r="C1" s="1482"/>
      <c r="D1" s="1482"/>
      <c r="E1" s="1482"/>
      <c r="F1" s="1482"/>
      <c r="G1" s="1482"/>
      <c r="H1" s="1482"/>
      <c r="I1" s="1482"/>
      <c r="J1" s="1482"/>
      <c r="K1" s="1482"/>
      <c r="L1" s="1482"/>
      <c r="M1" s="1482"/>
      <c r="N1" s="1482"/>
      <c r="O1" s="1482"/>
      <c r="P1" s="1482"/>
      <c r="Q1" s="1482"/>
    </row>
    <row r="2" spans="1:17">
      <c r="A2" s="1483" t="s">
        <v>1</v>
      </c>
      <c r="B2" s="1484" t="s">
        <v>2</v>
      </c>
      <c r="C2" s="1484" t="s">
        <v>477</v>
      </c>
      <c r="D2" s="1485" t="s">
        <v>1468</v>
      </c>
      <c r="E2" s="1486" t="s">
        <v>1469</v>
      </c>
      <c r="F2" s="1486"/>
      <c r="G2" s="1486"/>
      <c r="H2" s="1486"/>
      <c r="I2" s="1486"/>
      <c r="J2" s="1486"/>
      <c r="K2" s="1486"/>
      <c r="L2" s="1486"/>
      <c r="M2" s="1486"/>
      <c r="N2" s="1486"/>
      <c r="O2" s="1486"/>
      <c r="P2" s="1484" t="s">
        <v>1470</v>
      </c>
      <c r="Q2" s="1484"/>
    </row>
    <row r="3" spans="1:17">
      <c r="A3" s="1483"/>
      <c r="B3" s="1484"/>
      <c r="C3" s="1484"/>
      <c r="D3" s="1485"/>
      <c r="E3" s="1486" t="s">
        <v>1471</v>
      </c>
      <c r="F3" s="1486"/>
      <c r="G3" s="1486"/>
      <c r="H3" s="1486"/>
      <c r="I3" s="1486"/>
      <c r="J3" s="1486" t="s">
        <v>1472</v>
      </c>
      <c r="K3" s="1486"/>
      <c r="L3" s="1486" t="s">
        <v>1473</v>
      </c>
      <c r="M3" s="1486"/>
      <c r="N3" s="1486" t="s">
        <v>1474</v>
      </c>
      <c r="O3" s="1486"/>
      <c r="P3" s="1484"/>
      <c r="Q3" s="1484"/>
    </row>
    <row r="4" spans="1:17">
      <c r="A4" s="1483"/>
      <c r="B4" s="1484"/>
      <c r="C4" s="1484"/>
      <c r="D4" s="1485"/>
      <c r="E4" s="1486" t="s">
        <v>1475</v>
      </c>
      <c r="F4" s="1486"/>
      <c r="G4" s="1486"/>
      <c r="H4" s="1486" t="s">
        <v>1476</v>
      </c>
      <c r="I4" s="1486"/>
      <c r="J4" s="1486"/>
      <c r="K4" s="1486"/>
      <c r="L4" s="1486"/>
      <c r="M4" s="1486"/>
      <c r="N4" s="1486"/>
      <c r="O4" s="1486"/>
      <c r="P4" s="1484"/>
      <c r="Q4" s="1484"/>
    </row>
    <row r="5" spans="1:17">
      <c r="A5" s="1483"/>
      <c r="B5" s="1484"/>
      <c r="C5" s="1484"/>
      <c r="D5" s="1485"/>
      <c r="E5" s="1486"/>
      <c r="F5" s="1486"/>
      <c r="G5" s="1486"/>
      <c r="H5" s="1486"/>
      <c r="I5" s="1486"/>
      <c r="J5" s="1486"/>
      <c r="K5" s="1486"/>
      <c r="L5" s="1486"/>
      <c r="M5" s="1486"/>
      <c r="N5" s="1486"/>
      <c r="O5" s="1486"/>
      <c r="P5" s="1484"/>
      <c r="Q5" s="1484"/>
    </row>
    <row r="6" spans="1:17" ht="28.5" customHeight="1">
      <c r="A6" s="1483"/>
      <c r="B6" s="1484"/>
      <c r="C6" s="1484"/>
      <c r="D6" s="1485"/>
      <c r="E6" s="240" t="s">
        <v>17</v>
      </c>
      <c r="F6" s="238" t="s">
        <v>1477</v>
      </c>
      <c r="G6" s="239" t="s">
        <v>1478</v>
      </c>
      <c r="H6" s="240" t="s">
        <v>17</v>
      </c>
      <c r="I6" s="238" t="s">
        <v>1477</v>
      </c>
      <c r="J6" s="240" t="s">
        <v>17</v>
      </c>
      <c r="K6" s="238" t="s">
        <v>1477</v>
      </c>
      <c r="L6" s="240" t="s">
        <v>17</v>
      </c>
      <c r="M6" s="238" t="s">
        <v>1477</v>
      </c>
      <c r="N6" s="240" t="s">
        <v>17</v>
      </c>
      <c r="O6" s="238" t="s">
        <v>1477</v>
      </c>
      <c r="P6" s="239" t="s">
        <v>1479</v>
      </c>
      <c r="Q6" s="241" t="s">
        <v>1480</v>
      </c>
    </row>
    <row r="7" spans="1:17">
      <c r="A7" s="242">
        <v>1</v>
      </c>
      <c r="B7" s="434">
        <v>2</v>
      </c>
      <c r="C7" s="434">
        <v>3</v>
      </c>
      <c r="D7" s="434">
        <v>4</v>
      </c>
      <c r="E7" s="434">
        <v>5</v>
      </c>
      <c r="F7" s="434">
        <v>6</v>
      </c>
      <c r="G7" s="434">
        <v>7</v>
      </c>
      <c r="H7" s="434">
        <v>8</v>
      </c>
      <c r="I7" s="434">
        <v>9</v>
      </c>
      <c r="J7" s="434">
        <v>10</v>
      </c>
      <c r="K7" s="434">
        <v>11</v>
      </c>
      <c r="L7" s="434">
        <v>12</v>
      </c>
      <c r="M7" s="434">
        <v>13</v>
      </c>
      <c r="N7" s="434">
        <v>14</v>
      </c>
      <c r="O7" s="434">
        <v>15</v>
      </c>
      <c r="P7" s="434">
        <v>16</v>
      </c>
      <c r="Q7" s="242">
        <v>15</v>
      </c>
    </row>
    <row r="8" spans="1:17">
      <c r="A8" s="1480" t="s">
        <v>1279</v>
      </c>
      <c r="B8" s="1480"/>
      <c r="C8" s="1480"/>
      <c r="D8" s="1480"/>
      <c r="E8" s="1480"/>
      <c r="F8" s="1480"/>
      <c r="G8" s="1480"/>
      <c r="H8" s="1480"/>
      <c r="I8" s="1480"/>
      <c r="J8" s="1480"/>
      <c r="K8" s="1480"/>
      <c r="L8" s="1480"/>
      <c r="M8" s="1480"/>
      <c r="N8" s="1480"/>
      <c r="O8" s="1480"/>
      <c r="P8" s="1480"/>
      <c r="Q8" s="1480"/>
    </row>
    <row r="9" spans="1:17" ht="45">
      <c r="A9" s="433">
        <v>1</v>
      </c>
      <c r="B9" s="243">
        <v>805575</v>
      </c>
      <c r="C9" s="244" t="s">
        <v>480</v>
      </c>
      <c r="D9" s="339">
        <v>2.9670000000000001</v>
      </c>
      <c r="E9" s="340"/>
      <c r="F9" s="245"/>
      <c r="G9" s="246"/>
      <c r="H9" s="339">
        <v>0</v>
      </c>
      <c r="I9" s="245">
        <v>0</v>
      </c>
      <c r="J9" s="247">
        <v>0</v>
      </c>
      <c r="K9" s="245">
        <f t="shared" ref="K9:K25" si="0">J9/D9</f>
        <v>0</v>
      </c>
      <c r="L9" s="339">
        <v>2.9670000000000001</v>
      </c>
      <c r="M9" s="245">
        <f t="shared" ref="M9:M72" si="1">L9/D9</f>
        <v>1</v>
      </c>
      <c r="N9" s="339">
        <v>2.9670000000000001</v>
      </c>
      <c r="O9" s="245">
        <f t="shared" ref="O9:O40" si="2">N9/D9</f>
        <v>1</v>
      </c>
      <c r="P9" s="433" t="s">
        <v>1488</v>
      </c>
      <c r="Q9" s="433">
        <v>2019</v>
      </c>
    </row>
    <row r="10" spans="1:17" ht="45">
      <c r="A10" s="433">
        <v>2</v>
      </c>
      <c r="B10" s="435">
        <v>805575</v>
      </c>
      <c r="C10" s="244" t="s">
        <v>484</v>
      </c>
      <c r="D10" s="339">
        <v>7.29</v>
      </c>
      <c r="E10" s="340"/>
      <c r="F10" s="245"/>
      <c r="G10" s="246"/>
      <c r="H10" s="339">
        <v>0</v>
      </c>
      <c r="I10" s="245">
        <v>0</v>
      </c>
      <c r="J10" s="247">
        <v>0</v>
      </c>
      <c r="K10" s="245">
        <f t="shared" si="0"/>
        <v>0</v>
      </c>
      <c r="L10" s="247">
        <v>7.29</v>
      </c>
      <c r="M10" s="245">
        <f t="shared" si="1"/>
        <v>1</v>
      </c>
      <c r="N10" s="247">
        <v>7.29</v>
      </c>
      <c r="O10" s="245">
        <f t="shared" si="2"/>
        <v>1</v>
      </c>
      <c r="P10" s="433" t="s">
        <v>1488</v>
      </c>
      <c r="Q10" s="433">
        <v>2019</v>
      </c>
    </row>
    <row r="11" spans="1:17" ht="45">
      <c r="A11" s="433">
        <v>3</v>
      </c>
      <c r="B11" s="243" t="s">
        <v>486</v>
      </c>
      <c r="C11" s="244" t="s">
        <v>487</v>
      </c>
      <c r="D11" s="339">
        <v>36.115000000000002</v>
      </c>
      <c r="E11" s="340"/>
      <c r="F11" s="245"/>
      <c r="G11" s="246"/>
      <c r="H11" s="339">
        <v>0</v>
      </c>
      <c r="I11" s="245">
        <v>0</v>
      </c>
      <c r="J11" s="247">
        <v>0</v>
      </c>
      <c r="K11" s="245">
        <f t="shared" si="0"/>
        <v>0</v>
      </c>
      <c r="L11" s="247">
        <v>10</v>
      </c>
      <c r="M11" s="245">
        <f t="shared" si="1"/>
        <v>0.27689325764917622</v>
      </c>
      <c r="N11" s="247">
        <v>36.115000000000002</v>
      </c>
      <c r="O11" s="245">
        <f t="shared" si="2"/>
        <v>1</v>
      </c>
      <c r="P11" s="433" t="s">
        <v>1488</v>
      </c>
      <c r="Q11" s="433">
        <v>2019</v>
      </c>
    </row>
    <row r="12" spans="1:17" ht="45">
      <c r="A12" s="433">
        <v>4</v>
      </c>
      <c r="B12" s="435">
        <v>805721</v>
      </c>
      <c r="C12" s="244" t="s">
        <v>493</v>
      </c>
      <c r="D12" s="339">
        <v>22.4</v>
      </c>
      <c r="E12" s="340"/>
      <c r="F12" s="245"/>
      <c r="G12" s="246"/>
      <c r="H12" s="339">
        <v>0</v>
      </c>
      <c r="I12" s="245">
        <v>0</v>
      </c>
      <c r="J12" s="247">
        <v>17.2</v>
      </c>
      <c r="K12" s="245">
        <f t="shared" si="0"/>
        <v>0.7678571428571429</v>
      </c>
      <c r="L12" s="247">
        <v>5.2</v>
      </c>
      <c r="M12" s="245">
        <f t="shared" si="1"/>
        <v>0.23214285714285718</v>
      </c>
      <c r="N12" s="339">
        <v>22.4</v>
      </c>
      <c r="O12" s="245">
        <f t="shared" si="2"/>
        <v>1</v>
      </c>
      <c r="P12" s="433" t="s">
        <v>1488</v>
      </c>
      <c r="Q12" s="433">
        <v>2019</v>
      </c>
    </row>
    <row r="13" spans="1:17" ht="30">
      <c r="A13" s="433">
        <v>5</v>
      </c>
      <c r="B13" s="435">
        <v>805667</v>
      </c>
      <c r="C13" s="248" t="s">
        <v>1481</v>
      </c>
      <c r="D13" s="339">
        <v>49.3</v>
      </c>
      <c r="E13" s="340"/>
      <c r="F13" s="245"/>
      <c r="G13" s="246"/>
      <c r="H13" s="339">
        <v>0</v>
      </c>
      <c r="I13" s="245">
        <v>0</v>
      </c>
      <c r="J13" s="247">
        <v>0</v>
      </c>
      <c r="K13" s="245">
        <f t="shared" si="0"/>
        <v>0</v>
      </c>
      <c r="L13" s="247">
        <f>J13</f>
        <v>0</v>
      </c>
      <c r="M13" s="245">
        <f t="shared" si="1"/>
        <v>0</v>
      </c>
      <c r="N13" s="247">
        <v>0</v>
      </c>
      <c r="O13" s="245">
        <f t="shared" si="2"/>
        <v>0</v>
      </c>
      <c r="P13" s="433" t="s">
        <v>1488</v>
      </c>
      <c r="Q13" s="433">
        <v>2019</v>
      </c>
    </row>
    <row r="14" spans="1:17" ht="30">
      <c r="A14" s="433">
        <v>6</v>
      </c>
      <c r="B14" s="435">
        <v>805514</v>
      </c>
      <c r="C14" s="244" t="s">
        <v>502</v>
      </c>
      <c r="D14" s="446">
        <v>58.877000000000002</v>
      </c>
      <c r="E14" s="445">
        <v>7.7</v>
      </c>
      <c r="F14" s="249">
        <f>E14/D14</f>
        <v>0.13078111996195457</v>
      </c>
      <c r="G14" s="250">
        <v>43361</v>
      </c>
      <c r="H14" s="445"/>
      <c r="I14" s="249"/>
      <c r="J14" s="251">
        <v>7.7</v>
      </c>
      <c r="K14" s="249">
        <f t="shared" si="0"/>
        <v>0.13078111996195457</v>
      </c>
      <c r="L14" s="251">
        <v>7.7</v>
      </c>
      <c r="M14" s="245">
        <f t="shared" si="1"/>
        <v>0.13078111996195457</v>
      </c>
      <c r="N14" s="446">
        <v>58.877000000000002</v>
      </c>
      <c r="O14" s="249">
        <f t="shared" si="2"/>
        <v>1</v>
      </c>
      <c r="P14" s="433" t="s">
        <v>1488</v>
      </c>
      <c r="Q14" s="433">
        <v>2019</v>
      </c>
    </row>
    <row r="15" spans="1:17" ht="30">
      <c r="A15" s="433">
        <v>7</v>
      </c>
      <c r="B15" s="435">
        <v>805514</v>
      </c>
      <c r="C15" s="244" t="s">
        <v>509</v>
      </c>
      <c r="D15" s="339">
        <v>27.59</v>
      </c>
      <c r="E15" s="340">
        <v>2.6</v>
      </c>
      <c r="F15" s="245">
        <f>E15/D15</f>
        <v>9.423704240666908E-2</v>
      </c>
      <c r="G15" s="246">
        <v>43361</v>
      </c>
      <c r="H15" s="339"/>
      <c r="I15" s="245"/>
      <c r="J15" s="340">
        <v>2.6</v>
      </c>
      <c r="K15" s="245">
        <f t="shared" si="0"/>
        <v>9.423704240666908E-2</v>
      </c>
      <c r="L15" s="247">
        <f>J15</f>
        <v>2.6</v>
      </c>
      <c r="M15" s="245">
        <f t="shared" si="1"/>
        <v>9.423704240666908E-2</v>
      </c>
      <c r="N15" s="339">
        <v>27.59</v>
      </c>
      <c r="O15" s="245">
        <f t="shared" si="2"/>
        <v>1</v>
      </c>
      <c r="P15" s="433" t="s">
        <v>1488</v>
      </c>
      <c r="Q15" s="433">
        <v>2019</v>
      </c>
    </row>
    <row r="16" spans="1:17" ht="30">
      <c r="A16" s="433">
        <v>8</v>
      </c>
      <c r="B16" s="435">
        <v>805514</v>
      </c>
      <c r="C16" s="244" t="s">
        <v>512</v>
      </c>
      <c r="D16" s="339">
        <v>12.548</v>
      </c>
      <c r="E16" s="340">
        <v>0</v>
      </c>
      <c r="F16" s="245">
        <f>E16/D16</f>
        <v>0</v>
      </c>
      <c r="G16" s="246">
        <v>43361</v>
      </c>
      <c r="H16" s="340"/>
      <c r="I16" s="245"/>
      <c r="J16" s="247">
        <v>0</v>
      </c>
      <c r="K16" s="245">
        <f t="shared" si="0"/>
        <v>0</v>
      </c>
      <c r="L16" s="247">
        <v>0</v>
      </c>
      <c r="M16" s="245">
        <f t="shared" si="1"/>
        <v>0</v>
      </c>
      <c r="N16" s="339">
        <v>12.548</v>
      </c>
      <c r="O16" s="245">
        <f t="shared" si="2"/>
        <v>1</v>
      </c>
      <c r="P16" s="433" t="s">
        <v>1488</v>
      </c>
      <c r="Q16" s="433">
        <v>2019</v>
      </c>
    </row>
    <row r="17" spans="1:17" ht="45">
      <c r="A17" s="433">
        <v>9</v>
      </c>
      <c r="B17" s="435">
        <v>805468</v>
      </c>
      <c r="C17" s="244" t="s">
        <v>515</v>
      </c>
      <c r="D17" s="339">
        <v>26.63</v>
      </c>
      <c r="E17" s="340">
        <v>4.3029999999999999</v>
      </c>
      <c r="F17" s="245">
        <f>E17/D17</f>
        <v>0.16158467893353362</v>
      </c>
      <c r="G17" s="246">
        <v>43361</v>
      </c>
      <c r="H17" s="339"/>
      <c r="I17" s="245"/>
      <c r="J17" s="340">
        <v>4.3029999999999999</v>
      </c>
      <c r="K17" s="245">
        <f t="shared" si="0"/>
        <v>0.16158467893353362</v>
      </c>
      <c r="L17" s="247">
        <f t="shared" ref="L17:L22" si="3">J17</f>
        <v>4.3029999999999999</v>
      </c>
      <c r="M17" s="245">
        <f t="shared" si="1"/>
        <v>0.16158467893353362</v>
      </c>
      <c r="N17" s="339">
        <v>26.63</v>
      </c>
      <c r="O17" s="245">
        <f t="shared" si="2"/>
        <v>1</v>
      </c>
      <c r="P17" s="433" t="s">
        <v>1488</v>
      </c>
      <c r="Q17" s="433">
        <v>2019</v>
      </c>
    </row>
    <row r="18" spans="1:17" ht="45">
      <c r="A18" s="433">
        <v>10</v>
      </c>
      <c r="B18" s="435">
        <v>805468</v>
      </c>
      <c r="C18" s="244" t="s">
        <v>517</v>
      </c>
      <c r="D18" s="339">
        <v>43.4</v>
      </c>
      <c r="E18" s="340"/>
      <c r="F18" s="245"/>
      <c r="G18" s="246"/>
      <c r="H18" s="340">
        <v>21</v>
      </c>
      <c r="I18" s="245">
        <f>H18/D18</f>
        <v>0.4838709677419355</v>
      </c>
      <c r="J18" s="340">
        <v>21</v>
      </c>
      <c r="K18" s="245">
        <f t="shared" si="0"/>
        <v>0.4838709677419355</v>
      </c>
      <c r="L18" s="247">
        <f t="shared" si="3"/>
        <v>21</v>
      </c>
      <c r="M18" s="245">
        <f t="shared" si="1"/>
        <v>0.4838709677419355</v>
      </c>
      <c r="N18" s="339">
        <v>43.4</v>
      </c>
      <c r="O18" s="245">
        <f t="shared" si="2"/>
        <v>1</v>
      </c>
      <c r="P18" s="433" t="s">
        <v>1488</v>
      </c>
      <c r="Q18" s="433">
        <v>2019</v>
      </c>
    </row>
    <row r="19" spans="1:17" ht="45">
      <c r="A19" s="433">
        <v>11</v>
      </c>
      <c r="B19" s="435">
        <v>805468</v>
      </c>
      <c r="C19" s="244" t="s">
        <v>520</v>
      </c>
      <c r="D19" s="339">
        <v>66.599999999999994</v>
      </c>
      <c r="E19" s="340"/>
      <c r="F19" s="245"/>
      <c r="G19" s="246"/>
      <c r="H19" s="339">
        <v>15</v>
      </c>
      <c r="I19" s="245">
        <f>H19/D19</f>
        <v>0.22522522522522526</v>
      </c>
      <c r="J19" s="247">
        <v>15</v>
      </c>
      <c r="K19" s="245">
        <f t="shared" si="0"/>
        <v>0.22522522522522526</v>
      </c>
      <c r="L19" s="247">
        <f t="shared" si="3"/>
        <v>15</v>
      </c>
      <c r="M19" s="245">
        <f t="shared" si="1"/>
        <v>0.22522522522522526</v>
      </c>
      <c r="N19" s="339">
        <v>66.599999999999994</v>
      </c>
      <c r="O19" s="245">
        <f t="shared" si="2"/>
        <v>1</v>
      </c>
      <c r="P19" s="433" t="s">
        <v>1488</v>
      </c>
      <c r="Q19" s="433">
        <v>2019</v>
      </c>
    </row>
    <row r="20" spans="1:17" ht="45">
      <c r="A20" s="433">
        <v>12</v>
      </c>
      <c r="B20" s="435">
        <v>805468</v>
      </c>
      <c r="C20" s="244" t="s">
        <v>521</v>
      </c>
      <c r="D20" s="339">
        <v>30.27</v>
      </c>
      <c r="E20" s="340"/>
      <c r="F20" s="245"/>
      <c r="G20" s="246"/>
      <c r="H20" s="340">
        <v>5</v>
      </c>
      <c r="I20" s="245">
        <f>H20/D20</f>
        <v>0.16518004625041297</v>
      </c>
      <c r="J20" s="247">
        <v>14</v>
      </c>
      <c r="K20" s="245">
        <f t="shared" si="0"/>
        <v>0.46250412950115627</v>
      </c>
      <c r="L20" s="247">
        <f t="shared" si="3"/>
        <v>14</v>
      </c>
      <c r="M20" s="245">
        <f t="shared" si="1"/>
        <v>0.46250412950115627</v>
      </c>
      <c r="N20" s="339">
        <v>30.27</v>
      </c>
      <c r="O20" s="245">
        <f t="shared" si="2"/>
        <v>1</v>
      </c>
      <c r="P20" s="433" t="s">
        <v>1488</v>
      </c>
      <c r="Q20" s="433">
        <v>2019</v>
      </c>
    </row>
    <row r="21" spans="1:17" ht="30">
      <c r="A21" s="433">
        <v>13</v>
      </c>
      <c r="B21" s="435">
        <v>805573</v>
      </c>
      <c r="C21" s="244" t="s">
        <v>526</v>
      </c>
      <c r="D21" s="339">
        <v>11.867000000000001</v>
      </c>
      <c r="E21" s="340">
        <v>1.2</v>
      </c>
      <c r="F21" s="245">
        <f>E21/D21</f>
        <v>0.10112075503497092</v>
      </c>
      <c r="G21" s="246">
        <v>43361</v>
      </c>
      <c r="H21" s="339"/>
      <c r="I21" s="245"/>
      <c r="J21" s="247">
        <v>1.2</v>
      </c>
      <c r="K21" s="245">
        <f t="shared" si="0"/>
        <v>0.10112075503497092</v>
      </c>
      <c r="L21" s="247">
        <f t="shared" si="3"/>
        <v>1.2</v>
      </c>
      <c r="M21" s="245">
        <f t="shared" si="1"/>
        <v>0.10112075503497092</v>
      </c>
      <c r="N21" s="247">
        <v>4.2</v>
      </c>
      <c r="O21" s="245">
        <f t="shared" si="2"/>
        <v>0.35392264262239825</v>
      </c>
      <c r="P21" s="433" t="s">
        <v>1488</v>
      </c>
      <c r="Q21" s="433">
        <v>2019</v>
      </c>
    </row>
    <row r="22" spans="1:17" ht="30">
      <c r="A22" s="433">
        <v>14</v>
      </c>
      <c r="B22" s="435">
        <v>805573</v>
      </c>
      <c r="C22" s="244" t="s">
        <v>528</v>
      </c>
      <c r="D22" s="339">
        <v>12.412000000000001</v>
      </c>
      <c r="E22" s="340">
        <v>0</v>
      </c>
      <c r="F22" s="245">
        <f>E22/D22</f>
        <v>0</v>
      </c>
      <c r="G22" s="246">
        <v>43361</v>
      </c>
      <c r="H22" s="339"/>
      <c r="I22" s="245"/>
      <c r="J22" s="247">
        <v>5</v>
      </c>
      <c r="K22" s="245">
        <f t="shared" si="0"/>
        <v>0.40283596519497256</v>
      </c>
      <c r="L22" s="247">
        <f t="shared" si="3"/>
        <v>5</v>
      </c>
      <c r="M22" s="245">
        <f t="shared" si="1"/>
        <v>0.40283596519497256</v>
      </c>
      <c r="N22" s="339">
        <v>8.5</v>
      </c>
      <c r="O22" s="245">
        <f t="shared" si="2"/>
        <v>0.6848211408314534</v>
      </c>
      <c r="P22" s="433" t="s">
        <v>1488</v>
      </c>
      <c r="Q22" s="433">
        <v>2019</v>
      </c>
    </row>
    <row r="23" spans="1:17" ht="75">
      <c r="A23" s="433">
        <v>15</v>
      </c>
      <c r="B23" s="435">
        <v>805870</v>
      </c>
      <c r="C23" s="244" t="s">
        <v>534</v>
      </c>
      <c r="D23" s="339">
        <v>24.56</v>
      </c>
      <c r="E23" s="340">
        <v>0</v>
      </c>
      <c r="F23" s="245">
        <f>E23/D23</f>
        <v>0</v>
      </c>
      <c r="G23" s="246">
        <v>43361</v>
      </c>
      <c r="H23" s="339"/>
      <c r="I23" s="245"/>
      <c r="J23" s="247">
        <v>0</v>
      </c>
      <c r="K23" s="245">
        <f t="shared" si="0"/>
        <v>0</v>
      </c>
      <c r="L23" s="247">
        <v>5</v>
      </c>
      <c r="M23" s="245">
        <f t="shared" si="1"/>
        <v>0.20358306188925082</v>
      </c>
      <c r="N23" s="339">
        <v>10</v>
      </c>
      <c r="O23" s="245">
        <f t="shared" si="2"/>
        <v>0.40716612377850164</v>
      </c>
      <c r="P23" s="433" t="s">
        <v>1488</v>
      </c>
      <c r="Q23" s="433">
        <v>2019</v>
      </c>
    </row>
    <row r="24" spans="1:17" ht="75">
      <c r="A24" s="433">
        <v>16</v>
      </c>
      <c r="B24" s="435">
        <v>805870</v>
      </c>
      <c r="C24" s="244" t="s">
        <v>537</v>
      </c>
      <c r="D24" s="339">
        <v>35.764000000000003</v>
      </c>
      <c r="E24" s="340">
        <v>0</v>
      </c>
      <c r="F24" s="245">
        <f>E24/D24</f>
        <v>0</v>
      </c>
      <c r="G24" s="246">
        <v>43361</v>
      </c>
      <c r="H24" s="339"/>
      <c r="I24" s="245"/>
      <c r="J24" s="247">
        <v>0</v>
      </c>
      <c r="K24" s="245">
        <f t="shared" si="0"/>
        <v>0</v>
      </c>
      <c r="L24" s="247">
        <f>J24</f>
        <v>0</v>
      </c>
      <c r="M24" s="245">
        <f t="shared" si="1"/>
        <v>0</v>
      </c>
      <c r="N24" s="339">
        <v>5</v>
      </c>
      <c r="O24" s="245">
        <f t="shared" si="2"/>
        <v>0.13980539089587293</v>
      </c>
      <c r="P24" s="433" t="s">
        <v>1488</v>
      </c>
      <c r="Q24" s="433">
        <v>2019</v>
      </c>
    </row>
    <row r="25" spans="1:17" ht="30">
      <c r="A25" s="433">
        <v>17</v>
      </c>
      <c r="B25" s="435">
        <v>805802</v>
      </c>
      <c r="C25" s="244" t="s">
        <v>543</v>
      </c>
      <c r="D25" s="339">
        <v>46.542000000000002</v>
      </c>
      <c r="E25" s="340"/>
      <c r="F25" s="245"/>
      <c r="G25" s="246"/>
      <c r="H25" s="339">
        <v>19.5</v>
      </c>
      <c r="I25" s="245">
        <f>H25/D25</f>
        <v>0.41897640840531131</v>
      </c>
      <c r="J25" s="340">
        <v>19.5</v>
      </c>
      <c r="K25" s="245">
        <f t="shared" si="0"/>
        <v>0.41897640840531131</v>
      </c>
      <c r="L25" s="247">
        <v>41.9</v>
      </c>
      <c r="M25" s="245">
        <f t="shared" si="1"/>
        <v>0.900262128829874</v>
      </c>
      <c r="N25" s="339">
        <v>38.9</v>
      </c>
      <c r="O25" s="245">
        <f t="shared" si="2"/>
        <v>0.83580421984444153</v>
      </c>
      <c r="P25" s="433" t="s">
        <v>1488</v>
      </c>
      <c r="Q25" s="433">
        <v>2019</v>
      </c>
    </row>
    <row r="26" spans="1:17" ht="30">
      <c r="A26" s="433">
        <v>18</v>
      </c>
      <c r="B26" s="435">
        <v>805802</v>
      </c>
      <c r="C26" s="244" t="s">
        <v>547</v>
      </c>
      <c r="D26" s="339">
        <v>40.134</v>
      </c>
      <c r="E26" s="340">
        <v>6.6</v>
      </c>
      <c r="F26" s="245">
        <f>E26/D26</f>
        <v>0.16444909552997458</v>
      </c>
      <c r="G26" s="246">
        <v>43361</v>
      </c>
      <c r="H26" s="339"/>
      <c r="I26" s="245"/>
      <c r="J26" s="340">
        <v>6.6</v>
      </c>
      <c r="K26" s="245">
        <v>0.16444909552997458</v>
      </c>
      <c r="L26" s="247">
        <f>J26</f>
        <v>6.6</v>
      </c>
      <c r="M26" s="245">
        <f t="shared" si="1"/>
        <v>0.16444909552997458</v>
      </c>
      <c r="N26" s="339">
        <v>18.600000000000001</v>
      </c>
      <c r="O26" s="245">
        <f t="shared" si="2"/>
        <v>0.4634474510390193</v>
      </c>
      <c r="P26" s="433" t="s">
        <v>1488</v>
      </c>
      <c r="Q26" s="433">
        <v>2019</v>
      </c>
    </row>
    <row r="27" spans="1:17" ht="30">
      <c r="A27" s="433">
        <v>19</v>
      </c>
      <c r="B27" s="435">
        <v>805803</v>
      </c>
      <c r="C27" s="244" t="s">
        <v>551</v>
      </c>
      <c r="D27" s="339">
        <v>21.19</v>
      </c>
      <c r="E27" s="340">
        <v>9</v>
      </c>
      <c r="F27" s="245">
        <f>E27/D27</f>
        <v>0.42472864558754125</v>
      </c>
      <c r="G27" s="246">
        <v>43361</v>
      </c>
      <c r="H27" s="339"/>
      <c r="I27" s="245"/>
      <c r="J27" s="247">
        <v>9</v>
      </c>
      <c r="K27" s="245">
        <f t="shared" ref="K27:K90" si="4">J27/D27</f>
        <v>0.42472864558754125</v>
      </c>
      <c r="L27" s="247">
        <f>J27+6</f>
        <v>15</v>
      </c>
      <c r="M27" s="245">
        <f t="shared" si="1"/>
        <v>0.70788107597923544</v>
      </c>
      <c r="N27" s="339">
        <v>19</v>
      </c>
      <c r="O27" s="245">
        <f t="shared" si="2"/>
        <v>0.89664936290703157</v>
      </c>
      <c r="P27" s="433" t="s">
        <v>1488</v>
      </c>
      <c r="Q27" s="433">
        <v>2019</v>
      </c>
    </row>
    <row r="28" spans="1:17" ht="30">
      <c r="A28" s="433">
        <v>20</v>
      </c>
      <c r="B28" s="435">
        <v>805803</v>
      </c>
      <c r="C28" s="244" t="s">
        <v>555</v>
      </c>
      <c r="D28" s="339">
        <v>17.2</v>
      </c>
      <c r="E28" s="340"/>
      <c r="F28" s="245"/>
      <c r="G28" s="246"/>
      <c r="H28" s="339">
        <v>2.2000000000000002</v>
      </c>
      <c r="I28" s="245">
        <f>H28/D28</f>
        <v>0.12790697674418605</v>
      </c>
      <c r="J28" s="247">
        <v>17.2</v>
      </c>
      <c r="K28" s="245">
        <f t="shared" si="4"/>
        <v>1</v>
      </c>
      <c r="L28" s="247">
        <f>J28</f>
        <v>17.2</v>
      </c>
      <c r="M28" s="245">
        <f t="shared" si="1"/>
        <v>1</v>
      </c>
      <c r="N28" s="247">
        <v>17.2</v>
      </c>
      <c r="O28" s="245">
        <f t="shared" si="2"/>
        <v>1</v>
      </c>
      <c r="P28" s="433" t="s">
        <v>1488</v>
      </c>
      <c r="Q28" s="433">
        <v>2019</v>
      </c>
    </row>
    <row r="29" spans="1:17" ht="30">
      <c r="A29" s="433">
        <v>21</v>
      </c>
      <c r="B29" s="435">
        <v>805517</v>
      </c>
      <c r="C29" s="244" t="s">
        <v>1482</v>
      </c>
      <c r="D29" s="339">
        <v>29.725000000000001</v>
      </c>
      <c r="E29" s="445">
        <v>2.5</v>
      </c>
      <c r="F29" s="245">
        <f>E29/D29</f>
        <v>8.4104289318755257E-2</v>
      </c>
      <c r="G29" s="246">
        <v>43361</v>
      </c>
      <c r="H29" s="445"/>
      <c r="I29" s="245"/>
      <c r="J29" s="247">
        <v>2.5</v>
      </c>
      <c r="K29" s="245">
        <f t="shared" si="4"/>
        <v>8.4104289318755257E-2</v>
      </c>
      <c r="L29" s="247">
        <f>J29</f>
        <v>2.5</v>
      </c>
      <c r="M29" s="245">
        <f t="shared" si="1"/>
        <v>8.4104289318755257E-2</v>
      </c>
      <c r="N29" s="251">
        <v>12.8</v>
      </c>
      <c r="O29" s="245">
        <f t="shared" si="2"/>
        <v>0.43061396131202689</v>
      </c>
      <c r="P29" s="433" t="s">
        <v>1488</v>
      </c>
      <c r="Q29" s="433">
        <v>2019</v>
      </c>
    </row>
    <row r="30" spans="1:17" ht="45">
      <c r="A30" s="433">
        <v>22</v>
      </c>
      <c r="B30" s="435">
        <v>805683</v>
      </c>
      <c r="C30" s="244" t="s">
        <v>563</v>
      </c>
      <c r="D30" s="339">
        <v>50.17</v>
      </c>
      <c r="E30" s="340"/>
      <c r="F30" s="245"/>
      <c r="G30" s="246"/>
      <c r="H30" s="339">
        <v>4</v>
      </c>
      <c r="I30" s="245">
        <f>H30/D30</f>
        <v>7.9728921666334454E-2</v>
      </c>
      <c r="J30" s="247">
        <v>4</v>
      </c>
      <c r="K30" s="245">
        <f t="shared" si="4"/>
        <v>7.9728921666334454E-2</v>
      </c>
      <c r="L30" s="247">
        <f>J30</f>
        <v>4</v>
      </c>
      <c r="M30" s="245">
        <f t="shared" si="1"/>
        <v>7.9728921666334454E-2</v>
      </c>
      <c r="N30" s="247">
        <v>12.5</v>
      </c>
      <c r="O30" s="245">
        <f t="shared" si="2"/>
        <v>0.24915288020729517</v>
      </c>
      <c r="P30" s="433" t="s">
        <v>1488</v>
      </c>
      <c r="Q30" s="433">
        <v>2019</v>
      </c>
    </row>
    <row r="31" spans="1:17" ht="45">
      <c r="A31" s="433">
        <v>23</v>
      </c>
      <c r="B31" s="435">
        <v>805683</v>
      </c>
      <c r="C31" s="244" t="s">
        <v>565</v>
      </c>
      <c r="D31" s="339">
        <v>32.67</v>
      </c>
      <c r="E31" s="340"/>
      <c r="F31" s="245"/>
      <c r="G31" s="246"/>
      <c r="H31" s="339">
        <v>0</v>
      </c>
      <c r="I31" s="245">
        <v>0</v>
      </c>
      <c r="J31" s="247">
        <v>0</v>
      </c>
      <c r="K31" s="245">
        <f t="shared" si="4"/>
        <v>0</v>
      </c>
      <c r="L31" s="247">
        <v>13.8</v>
      </c>
      <c r="M31" s="245">
        <f t="shared" si="1"/>
        <v>0.42240587695133147</v>
      </c>
      <c r="N31" s="339">
        <v>23.9</v>
      </c>
      <c r="O31" s="245">
        <f t="shared" si="2"/>
        <v>0.73155800428527695</v>
      </c>
      <c r="P31" s="433" t="s">
        <v>1488</v>
      </c>
      <c r="Q31" s="433">
        <v>2019</v>
      </c>
    </row>
    <row r="32" spans="1:17" ht="30">
      <c r="A32" s="433">
        <v>24</v>
      </c>
      <c r="B32" s="435">
        <v>805467</v>
      </c>
      <c r="C32" s="244" t="s">
        <v>568</v>
      </c>
      <c r="D32" s="339">
        <v>12.727</v>
      </c>
      <c r="E32" s="340"/>
      <c r="F32" s="245"/>
      <c r="G32" s="246"/>
      <c r="H32" s="339">
        <v>0</v>
      </c>
      <c r="I32" s="245">
        <v>0</v>
      </c>
      <c r="J32" s="247">
        <v>0</v>
      </c>
      <c r="K32" s="245">
        <f t="shared" si="4"/>
        <v>0</v>
      </c>
      <c r="L32" s="247">
        <v>5</v>
      </c>
      <c r="M32" s="245">
        <f t="shared" si="1"/>
        <v>0.39286556140488726</v>
      </c>
      <c r="N32" s="339">
        <v>5</v>
      </c>
      <c r="O32" s="245">
        <f t="shared" si="2"/>
        <v>0.39286556140488726</v>
      </c>
      <c r="P32" s="433" t="s">
        <v>1488</v>
      </c>
      <c r="Q32" s="433">
        <v>2019</v>
      </c>
    </row>
    <row r="33" spans="1:17" ht="30">
      <c r="A33" s="433">
        <v>25</v>
      </c>
      <c r="B33" s="435">
        <v>805467</v>
      </c>
      <c r="C33" s="244" t="s">
        <v>1483</v>
      </c>
      <c r="D33" s="339">
        <v>26.434000000000001</v>
      </c>
      <c r="E33" s="340"/>
      <c r="F33" s="245"/>
      <c r="G33" s="246"/>
      <c r="H33" s="339">
        <v>0</v>
      </c>
      <c r="I33" s="245">
        <v>0</v>
      </c>
      <c r="J33" s="247">
        <v>10.1</v>
      </c>
      <c r="K33" s="245">
        <f t="shared" si="4"/>
        <v>0.38208368010895055</v>
      </c>
      <c r="L33" s="247">
        <f>J33+5</f>
        <v>15.1</v>
      </c>
      <c r="M33" s="245">
        <f t="shared" si="1"/>
        <v>0.57123401679654984</v>
      </c>
      <c r="N33" s="247">
        <v>15.1</v>
      </c>
      <c r="O33" s="245">
        <f t="shared" si="2"/>
        <v>0.57123401679654984</v>
      </c>
      <c r="P33" s="433" t="s">
        <v>1488</v>
      </c>
      <c r="Q33" s="433">
        <v>2019</v>
      </c>
    </row>
    <row r="34" spans="1:17">
      <c r="A34" s="433">
        <v>26</v>
      </c>
      <c r="B34" s="435">
        <v>805577</v>
      </c>
      <c r="C34" s="248" t="s">
        <v>577</v>
      </c>
      <c r="D34" s="341">
        <v>24.263000000000002</v>
      </c>
      <c r="E34" s="340"/>
      <c r="F34" s="245"/>
      <c r="G34" s="246"/>
      <c r="H34" s="341">
        <v>0</v>
      </c>
      <c r="I34" s="245">
        <v>0</v>
      </c>
      <c r="J34" s="247">
        <v>0</v>
      </c>
      <c r="K34" s="245">
        <f t="shared" si="4"/>
        <v>0</v>
      </c>
      <c r="L34" s="247">
        <f>J34</f>
        <v>0</v>
      </c>
      <c r="M34" s="245">
        <f t="shared" si="1"/>
        <v>0</v>
      </c>
      <c r="N34" s="341">
        <v>0</v>
      </c>
      <c r="O34" s="245">
        <f t="shared" si="2"/>
        <v>0</v>
      </c>
      <c r="P34" s="433" t="s">
        <v>1488</v>
      </c>
      <c r="Q34" s="433">
        <v>2019</v>
      </c>
    </row>
    <row r="35" spans="1:17" ht="45">
      <c r="A35" s="433">
        <v>27</v>
      </c>
      <c r="B35" s="435">
        <v>805477</v>
      </c>
      <c r="C35" s="248" t="s">
        <v>582</v>
      </c>
      <c r="D35" s="339">
        <v>38.832999999999998</v>
      </c>
      <c r="E35" s="340"/>
      <c r="F35" s="245"/>
      <c r="G35" s="246"/>
      <c r="H35" s="339">
        <v>0</v>
      </c>
      <c r="I35" s="245">
        <v>0</v>
      </c>
      <c r="J35" s="247">
        <v>0</v>
      </c>
      <c r="K35" s="245">
        <f t="shared" si="4"/>
        <v>0</v>
      </c>
      <c r="L35" s="247">
        <f>J35</f>
        <v>0</v>
      </c>
      <c r="M35" s="245">
        <f t="shared" si="1"/>
        <v>0</v>
      </c>
      <c r="N35" s="247">
        <v>0</v>
      </c>
      <c r="O35" s="245">
        <f t="shared" si="2"/>
        <v>0</v>
      </c>
      <c r="P35" s="433" t="s">
        <v>1488</v>
      </c>
      <c r="Q35" s="433">
        <v>2019</v>
      </c>
    </row>
    <row r="36" spans="1:17">
      <c r="A36" s="433">
        <v>28</v>
      </c>
      <c r="B36" s="435">
        <v>805522</v>
      </c>
      <c r="C36" s="248" t="s">
        <v>587</v>
      </c>
      <c r="D36" s="339">
        <v>40.795999999999999</v>
      </c>
      <c r="E36" s="340"/>
      <c r="F36" s="245"/>
      <c r="G36" s="246"/>
      <c r="H36" s="339">
        <v>0</v>
      </c>
      <c r="I36" s="245">
        <v>0</v>
      </c>
      <c r="J36" s="247">
        <v>0</v>
      </c>
      <c r="K36" s="245">
        <f t="shared" si="4"/>
        <v>0</v>
      </c>
      <c r="L36" s="247">
        <f>J36</f>
        <v>0</v>
      </c>
      <c r="M36" s="245">
        <f t="shared" si="1"/>
        <v>0</v>
      </c>
      <c r="N36" s="247">
        <v>0</v>
      </c>
      <c r="O36" s="245">
        <f t="shared" si="2"/>
        <v>0</v>
      </c>
      <c r="P36" s="433" t="s">
        <v>1488</v>
      </c>
      <c r="Q36" s="433">
        <v>2019</v>
      </c>
    </row>
    <row r="37" spans="1:17" ht="30">
      <c r="A37" s="433">
        <v>29</v>
      </c>
      <c r="B37" s="435">
        <v>805821</v>
      </c>
      <c r="C37" s="248" t="s">
        <v>590</v>
      </c>
      <c r="D37" s="339">
        <v>5.2949999999999999</v>
      </c>
      <c r="E37" s="340"/>
      <c r="F37" s="245"/>
      <c r="G37" s="246"/>
      <c r="H37" s="339">
        <v>0</v>
      </c>
      <c r="I37" s="245">
        <f>H37/D37</f>
        <v>0</v>
      </c>
      <c r="J37" s="339">
        <v>0</v>
      </c>
      <c r="K37" s="245">
        <f t="shared" si="4"/>
        <v>0</v>
      </c>
      <c r="L37" s="247">
        <f>J37</f>
        <v>0</v>
      </c>
      <c r="M37" s="245">
        <f t="shared" si="1"/>
        <v>0</v>
      </c>
      <c r="N37" s="339">
        <v>1.7</v>
      </c>
      <c r="O37" s="245">
        <f t="shared" si="2"/>
        <v>0.32105760151085927</v>
      </c>
      <c r="P37" s="433" t="s">
        <v>1488</v>
      </c>
      <c r="Q37" s="433">
        <v>2019</v>
      </c>
    </row>
    <row r="38" spans="1:17" ht="45">
      <c r="A38" s="433">
        <v>30</v>
      </c>
      <c r="B38" s="435">
        <v>805524</v>
      </c>
      <c r="C38" s="248" t="s">
        <v>593</v>
      </c>
      <c r="D38" s="339">
        <v>19.600999999999999</v>
      </c>
      <c r="E38" s="340"/>
      <c r="F38" s="245"/>
      <c r="G38" s="246"/>
      <c r="H38" s="339">
        <v>0</v>
      </c>
      <c r="I38" s="245">
        <v>0</v>
      </c>
      <c r="J38" s="247">
        <v>4.7</v>
      </c>
      <c r="K38" s="245">
        <f t="shared" si="4"/>
        <v>0.23978368450589257</v>
      </c>
      <c r="L38" s="247">
        <v>14.7</v>
      </c>
      <c r="M38" s="245">
        <f t="shared" si="1"/>
        <v>0.74996173664608945</v>
      </c>
      <c r="N38" s="247">
        <v>14.7</v>
      </c>
      <c r="O38" s="245">
        <f t="shared" si="2"/>
        <v>0.74996173664608945</v>
      </c>
      <c r="P38" s="433" t="s">
        <v>1488</v>
      </c>
      <c r="Q38" s="433">
        <v>2019</v>
      </c>
    </row>
    <row r="39" spans="1:17" ht="45">
      <c r="A39" s="433">
        <v>31</v>
      </c>
      <c r="B39" s="435">
        <v>805692</v>
      </c>
      <c r="C39" s="248" t="s">
        <v>596</v>
      </c>
      <c r="D39" s="339">
        <v>32.274999999999999</v>
      </c>
      <c r="E39" s="340"/>
      <c r="F39" s="245"/>
      <c r="G39" s="246"/>
      <c r="H39" s="339">
        <v>0</v>
      </c>
      <c r="I39" s="245">
        <v>0</v>
      </c>
      <c r="J39" s="247">
        <v>0</v>
      </c>
      <c r="K39" s="245">
        <f t="shared" si="4"/>
        <v>0</v>
      </c>
      <c r="L39" s="247">
        <v>4.3</v>
      </c>
      <c r="M39" s="245">
        <f t="shared" si="1"/>
        <v>0.13323005422153369</v>
      </c>
      <c r="N39" s="247">
        <v>4.3</v>
      </c>
      <c r="O39" s="245">
        <f t="shared" si="2"/>
        <v>0.13323005422153369</v>
      </c>
      <c r="P39" s="433" t="s">
        <v>1488</v>
      </c>
      <c r="Q39" s="433">
        <v>2019</v>
      </c>
    </row>
    <row r="40" spans="1:17" ht="45">
      <c r="A40" s="433">
        <v>32</v>
      </c>
      <c r="B40" s="435">
        <v>805693</v>
      </c>
      <c r="C40" s="248" t="s">
        <v>600</v>
      </c>
      <c r="D40" s="339">
        <v>31.31</v>
      </c>
      <c r="E40" s="340"/>
      <c r="F40" s="245"/>
      <c r="G40" s="246"/>
      <c r="H40" s="339">
        <v>2.625</v>
      </c>
      <c r="I40" s="245">
        <f>H40/D40</f>
        <v>8.3839029064196741E-2</v>
      </c>
      <c r="J40" s="247">
        <v>2.625</v>
      </c>
      <c r="K40" s="245">
        <f t="shared" si="4"/>
        <v>8.3839029064196741E-2</v>
      </c>
      <c r="L40" s="247">
        <v>14.625</v>
      </c>
      <c r="M40" s="245">
        <f t="shared" si="1"/>
        <v>0.46710316192909618</v>
      </c>
      <c r="N40" s="247">
        <v>14.625</v>
      </c>
      <c r="O40" s="245">
        <f t="shared" si="2"/>
        <v>0.46710316192909618</v>
      </c>
      <c r="P40" s="433" t="s">
        <v>1488</v>
      </c>
      <c r="Q40" s="433">
        <v>2019</v>
      </c>
    </row>
    <row r="41" spans="1:17" ht="30">
      <c r="A41" s="433">
        <v>33</v>
      </c>
      <c r="B41" s="435">
        <v>805515</v>
      </c>
      <c r="C41" s="248" t="s">
        <v>603</v>
      </c>
      <c r="D41" s="339">
        <v>66.352999999999994</v>
      </c>
      <c r="E41" s="340">
        <v>19.690000000000001</v>
      </c>
      <c r="F41" s="245">
        <f>E41/D41</f>
        <v>0.29674619082784504</v>
      </c>
      <c r="G41" s="246">
        <v>43361</v>
      </c>
      <c r="H41" s="340"/>
      <c r="I41" s="245"/>
      <c r="J41" s="340">
        <v>28.4</v>
      </c>
      <c r="K41" s="245">
        <f t="shared" si="4"/>
        <v>0.42801380495230057</v>
      </c>
      <c r="L41" s="247">
        <v>41.4</v>
      </c>
      <c r="M41" s="245">
        <f t="shared" si="1"/>
        <v>0.62393561707835365</v>
      </c>
      <c r="N41" s="247">
        <v>49.7</v>
      </c>
      <c r="O41" s="245">
        <f t="shared" ref="O41:O72" si="5">N41/D41</f>
        <v>0.74902415866652616</v>
      </c>
      <c r="P41" s="433" t="s">
        <v>1488</v>
      </c>
      <c r="Q41" s="433">
        <v>2019</v>
      </c>
    </row>
    <row r="42" spans="1:17" ht="30">
      <c r="A42" s="433">
        <v>34</v>
      </c>
      <c r="B42" s="435">
        <v>805748</v>
      </c>
      <c r="C42" s="248" t="s">
        <v>613</v>
      </c>
      <c r="D42" s="339">
        <v>5.6139999999999999</v>
      </c>
      <c r="E42" s="340"/>
      <c r="F42" s="245"/>
      <c r="G42" s="246"/>
      <c r="H42" s="339">
        <v>0</v>
      </c>
      <c r="I42" s="245">
        <f>H42/D42</f>
        <v>0</v>
      </c>
      <c r="J42" s="251">
        <v>3.3</v>
      </c>
      <c r="K42" s="249">
        <f t="shared" si="4"/>
        <v>0.58781617385108653</v>
      </c>
      <c r="L42" s="247">
        <f>J42</f>
        <v>3.3</v>
      </c>
      <c r="M42" s="245">
        <f t="shared" si="1"/>
        <v>0.58781617385108653</v>
      </c>
      <c r="N42" s="251">
        <v>3.3</v>
      </c>
      <c r="O42" s="245">
        <f t="shared" si="5"/>
        <v>0.58781617385108653</v>
      </c>
      <c r="P42" s="433" t="s">
        <v>1488</v>
      </c>
      <c r="Q42" s="433">
        <v>2019</v>
      </c>
    </row>
    <row r="43" spans="1:17" ht="30">
      <c r="A43" s="433">
        <v>35</v>
      </c>
      <c r="B43" s="435">
        <v>805697</v>
      </c>
      <c r="C43" s="248" t="s">
        <v>619</v>
      </c>
      <c r="D43" s="339">
        <v>17.521999999999998</v>
      </c>
      <c r="E43" s="340"/>
      <c r="F43" s="245"/>
      <c r="G43" s="246"/>
      <c r="H43" s="339">
        <v>0</v>
      </c>
      <c r="I43" s="245">
        <v>0</v>
      </c>
      <c r="J43" s="247">
        <v>0</v>
      </c>
      <c r="K43" s="245">
        <f t="shared" si="4"/>
        <v>0</v>
      </c>
      <c r="L43" s="247">
        <f>J43</f>
        <v>0</v>
      </c>
      <c r="M43" s="245">
        <f t="shared" si="1"/>
        <v>0</v>
      </c>
      <c r="N43" s="339">
        <v>0</v>
      </c>
      <c r="O43" s="245">
        <f t="shared" si="5"/>
        <v>0</v>
      </c>
      <c r="P43" s="433" t="s">
        <v>1488</v>
      </c>
      <c r="Q43" s="433">
        <v>2019</v>
      </c>
    </row>
    <row r="44" spans="1:17">
      <c r="A44" s="433">
        <v>36</v>
      </c>
      <c r="B44" s="435">
        <v>805425</v>
      </c>
      <c r="C44" s="248" t="s">
        <v>621</v>
      </c>
      <c r="D44" s="339">
        <v>27.84</v>
      </c>
      <c r="E44" s="340">
        <v>1.1919999999999999</v>
      </c>
      <c r="F44" s="245">
        <f>E44/D44</f>
        <v>4.2816091954022986E-2</v>
      </c>
      <c r="G44" s="246">
        <v>43361</v>
      </c>
      <c r="H44" s="339"/>
      <c r="I44" s="245"/>
      <c r="J44" s="340">
        <v>1.1919999999999999</v>
      </c>
      <c r="K44" s="245">
        <f t="shared" si="4"/>
        <v>4.2816091954022986E-2</v>
      </c>
      <c r="L44" s="247">
        <f>J44+20.7</f>
        <v>21.891999999999999</v>
      </c>
      <c r="M44" s="245">
        <f t="shared" si="1"/>
        <v>0.78635057471264369</v>
      </c>
      <c r="N44" s="339">
        <v>24.692</v>
      </c>
      <c r="O44" s="245">
        <f t="shared" si="5"/>
        <v>0.88692528735632181</v>
      </c>
      <c r="P44" s="433" t="s">
        <v>1488</v>
      </c>
      <c r="Q44" s="433">
        <v>2019</v>
      </c>
    </row>
    <row r="45" spans="1:17" ht="30">
      <c r="A45" s="433">
        <v>37</v>
      </c>
      <c r="B45" s="435">
        <v>805532</v>
      </c>
      <c r="C45" s="248" t="s">
        <v>626</v>
      </c>
      <c r="D45" s="339">
        <v>59.9</v>
      </c>
      <c r="E45" s="340"/>
      <c r="F45" s="245"/>
      <c r="G45" s="246"/>
      <c r="H45" s="339">
        <v>0</v>
      </c>
      <c r="I45" s="245">
        <v>0</v>
      </c>
      <c r="J45" s="247">
        <v>0</v>
      </c>
      <c r="K45" s="245">
        <f t="shared" si="4"/>
        <v>0</v>
      </c>
      <c r="L45" s="247">
        <f>J45</f>
        <v>0</v>
      </c>
      <c r="M45" s="245">
        <f t="shared" si="1"/>
        <v>0</v>
      </c>
      <c r="N45" s="247">
        <v>0</v>
      </c>
      <c r="O45" s="245">
        <f t="shared" si="5"/>
        <v>0</v>
      </c>
      <c r="P45" s="433" t="s">
        <v>1488</v>
      </c>
      <c r="Q45" s="433">
        <v>2019</v>
      </c>
    </row>
    <row r="46" spans="1:17" ht="45">
      <c r="A46" s="433">
        <v>38</v>
      </c>
      <c r="B46" s="252" t="s">
        <v>628</v>
      </c>
      <c r="C46" s="248" t="s">
        <v>629</v>
      </c>
      <c r="D46" s="339">
        <v>22.71</v>
      </c>
      <c r="E46" s="340"/>
      <c r="F46" s="245"/>
      <c r="G46" s="246"/>
      <c r="H46" s="339">
        <v>3.5</v>
      </c>
      <c r="I46" s="245">
        <f>H46/D46</f>
        <v>0.15411712901805372</v>
      </c>
      <c r="J46" s="247">
        <v>7.53</v>
      </c>
      <c r="K46" s="245">
        <f t="shared" si="4"/>
        <v>0.33157199471598414</v>
      </c>
      <c r="L46" s="247">
        <f>J46</f>
        <v>7.53</v>
      </c>
      <c r="M46" s="245">
        <f t="shared" si="1"/>
        <v>0.33157199471598414</v>
      </c>
      <c r="N46" s="339">
        <f>13.03-5.5</f>
        <v>7.5299999999999994</v>
      </c>
      <c r="O46" s="245">
        <f t="shared" si="5"/>
        <v>0.33157199471598409</v>
      </c>
      <c r="P46" s="433" t="s">
        <v>1488</v>
      </c>
      <c r="Q46" s="433">
        <v>2019</v>
      </c>
    </row>
    <row r="47" spans="1:17" ht="45">
      <c r="A47" s="433">
        <v>39</v>
      </c>
      <c r="B47" s="435">
        <v>805645</v>
      </c>
      <c r="C47" s="244" t="s">
        <v>634</v>
      </c>
      <c r="D47" s="339">
        <v>39.97</v>
      </c>
      <c r="E47" s="340"/>
      <c r="F47" s="245"/>
      <c r="G47" s="246"/>
      <c r="H47" s="340">
        <v>0</v>
      </c>
      <c r="I47" s="245">
        <f>H47/D47</f>
        <v>0</v>
      </c>
      <c r="J47" s="247">
        <v>15</v>
      </c>
      <c r="K47" s="245">
        <f t="shared" si="4"/>
        <v>0.37528146109582189</v>
      </c>
      <c r="L47" s="247">
        <f>J47</f>
        <v>15</v>
      </c>
      <c r="M47" s="245">
        <f t="shared" si="1"/>
        <v>0.37528146109582189</v>
      </c>
      <c r="N47" s="339">
        <v>20</v>
      </c>
      <c r="O47" s="245">
        <f t="shared" si="5"/>
        <v>0.50037528146109589</v>
      </c>
      <c r="P47" s="433" t="s">
        <v>1488</v>
      </c>
      <c r="Q47" s="433">
        <v>2019</v>
      </c>
    </row>
    <row r="48" spans="1:17" ht="45">
      <c r="A48" s="433">
        <v>40</v>
      </c>
      <c r="B48" s="435">
        <v>805435</v>
      </c>
      <c r="C48" s="248" t="s">
        <v>639</v>
      </c>
      <c r="D48" s="339">
        <v>16.088999999999999</v>
      </c>
      <c r="E48" s="340"/>
      <c r="F48" s="245"/>
      <c r="G48" s="246"/>
      <c r="H48" s="339">
        <v>0</v>
      </c>
      <c r="I48" s="245">
        <v>0</v>
      </c>
      <c r="J48" s="247">
        <v>16.088999999999999</v>
      </c>
      <c r="K48" s="245">
        <f t="shared" si="4"/>
        <v>1</v>
      </c>
      <c r="L48" s="247">
        <f>J48</f>
        <v>16.088999999999999</v>
      </c>
      <c r="M48" s="245">
        <f t="shared" si="1"/>
        <v>1</v>
      </c>
      <c r="N48" s="339">
        <v>16.088999999999999</v>
      </c>
      <c r="O48" s="245">
        <f t="shared" si="5"/>
        <v>1</v>
      </c>
      <c r="P48" s="433" t="s">
        <v>1488</v>
      </c>
      <c r="Q48" s="433">
        <v>2019</v>
      </c>
    </row>
    <row r="49" spans="1:17" ht="60">
      <c r="A49" s="433">
        <v>41</v>
      </c>
      <c r="B49" s="435">
        <v>805609</v>
      </c>
      <c r="C49" s="244" t="s">
        <v>643</v>
      </c>
      <c r="D49" s="339">
        <v>31.15</v>
      </c>
      <c r="E49" s="340"/>
      <c r="F49" s="245"/>
      <c r="G49" s="246"/>
      <c r="H49" s="339">
        <v>0</v>
      </c>
      <c r="I49" s="245">
        <v>0</v>
      </c>
      <c r="J49" s="247">
        <v>0</v>
      </c>
      <c r="K49" s="245">
        <f t="shared" si="4"/>
        <v>0</v>
      </c>
      <c r="L49" s="247">
        <v>5.33</v>
      </c>
      <c r="M49" s="245">
        <f t="shared" si="1"/>
        <v>0.17110754414125201</v>
      </c>
      <c r="N49" s="247">
        <v>5.33</v>
      </c>
      <c r="O49" s="245">
        <f t="shared" si="5"/>
        <v>0.17110754414125201</v>
      </c>
      <c r="P49" s="433" t="s">
        <v>1488</v>
      </c>
      <c r="Q49" s="433">
        <v>2019</v>
      </c>
    </row>
    <row r="50" spans="1:17" ht="30">
      <c r="A50" s="433">
        <v>42</v>
      </c>
      <c r="B50" s="435">
        <v>805782</v>
      </c>
      <c r="C50" s="248" t="s">
        <v>646</v>
      </c>
      <c r="D50" s="339">
        <v>20.785</v>
      </c>
      <c r="E50" s="340"/>
      <c r="F50" s="245"/>
      <c r="G50" s="246"/>
      <c r="H50" s="339">
        <v>0</v>
      </c>
      <c r="I50" s="245">
        <v>0</v>
      </c>
      <c r="J50" s="247">
        <v>8</v>
      </c>
      <c r="K50" s="245">
        <f t="shared" si="4"/>
        <v>0.38489295164782295</v>
      </c>
      <c r="L50" s="247">
        <f>J50</f>
        <v>8</v>
      </c>
      <c r="M50" s="245">
        <f t="shared" si="1"/>
        <v>0.38489295164782295</v>
      </c>
      <c r="N50" s="339">
        <v>17.3</v>
      </c>
      <c r="O50" s="245">
        <f t="shared" si="5"/>
        <v>0.83233100793841719</v>
      </c>
      <c r="P50" s="433" t="s">
        <v>1488</v>
      </c>
      <c r="Q50" s="433">
        <v>2019</v>
      </c>
    </row>
    <row r="51" spans="1:17" ht="30">
      <c r="A51" s="433">
        <v>43</v>
      </c>
      <c r="B51" s="435">
        <v>805855</v>
      </c>
      <c r="C51" s="248" t="s">
        <v>652</v>
      </c>
      <c r="D51" s="339">
        <v>37.15</v>
      </c>
      <c r="E51" s="340"/>
      <c r="F51" s="245"/>
      <c r="G51" s="246"/>
      <c r="H51" s="339">
        <v>0</v>
      </c>
      <c r="I51" s="245">
        <v>0</v>
      </c>
      <c r="J51" s="247">
        <v>0</v>
      </c>
      <c r="K51" s="245">
        <f t="shared" si="4"/>
        <v>0</v>
      </c>
      <c r="L51" s="247">
        <f>J51</f>
        <v>0</v>
      </c>
      <c r="M51" s="245">
        <f t="shared" si="1"/>
        <v>0</v>
      </c>
      <c r="N51" s="247">
        <v>0</v>
      </c>
      <c r="O51" s="245">
        <f t="shared" si="5"/>
        <v>0</v>
      </c>
      <c r="P51" s="433" t="s">
        <v>1488</v>
      </c>
      <c r="Q51" s="433">
        <v>2019</v>
      </c>
    </row>
    <row r="52" spans="1:17" ht="45">
      <c r="A52" s="433">
        <v>44</v>
      </c>
      <c r="B52" s="435">
        <v>805449</v>
      </c>
      <c r="C52" s="248" t="s">
        <v>1484</v>
      </c>
      <c r="D52" s="339">
        <v>16.893999999999998</v>
      </c>
      <c r="E52" s="340"/>
      <c r="F52" s="245"/>
      <c r="G52" s="246"/>
      <c r="H52" s="339">
        <v>0</v>
      </c>
      <c r="I52" s="245">
        <v>0</v>
      </c>
      <c r="J52" s="247">
        <v>0</v>
      </c>
      <c r="K52" s="245">
        <f t="shared" si="4"/>
        <v>0</v>
      </c>
      <c r="L52" s="247">
        <f>J52</f>
        <v>0</v>
      </c>
      <c r="M52" s="245">
        <f t="shared" si="1"/>
        <v>0</v>
      </c>
      <c r="N52" s="247">
        <v>0</v>
      </c>
      <c r="O52" s="245">
        <f t="shared" si="5"/>
        <v>0</v>
      </c>
      <c r="P52" s="433" t="s">
        <v>1488</v>
      </c>
      <c r="Q52" s="433">
        <v>2019</v>
      </c>
    </row>
    <row r="53" spans="1:17" ht="30">
      <c r="A53" s="433">
        <v>45</v>
      </c>
      <c r="B53" s="435">
        <v>805669</v>
      </c>
      <c r="C53" s="248" t="s">
        <v>658</v>
      </c>
      <c r="D53" s="339">
        <v>41.095999999999997</v>
      </c>
      <c r="E53" s="340"/>
      <c r="F53" s="245"/>
      <c r="G53" s="246"/>
      <c r="H53" s="339">
        <v>4.0999999999999996</v>
      </c>
      <c r="I53" s="245">
        <f>H53/D53</f>
        <v>9.976640062293167E-2</v>
      </c>
      <c r="J53" s="247">
        <v>14.09</v>
      </c>
      <c r="K53" s="245">
        <f t="shared" si="4"/>
        <v>0.34285575238466032</v>
      </c>
      <c r="L53" s="247">
        <f>J53</f>
        <v>14.09</v>
      </c>
      <c r="M53" s="245">
        <f t="shared" si="1"/>
        <v>0.34285575238466032</v>
      </c>
      <c r="N53" s="339">
        <f>20.89-6.8</f>
        <v>14.09</v>
      </c>
      <c r="O53" s="245">
        <f t="shared" si="5"/>
        <v>0.34285575238466032</v>
      </c>
      <c r="P53" s="433" t="s">
        <v>1488</v>
      </c>
      <c r="Q53" s="433">
        <v>2019</v>
      </c>
    </row>
    <row r="54" spans="1:17" ht="30">
      <c r="A54" s="433">
        <v>46</v>
      </c>
      <c r="B54" s="435">
        <v>805466</v>
      </c>
      <c r="C54" s="248" t="s">
        <v>661</v>
      </c>
      <c r="D54" s="339">
        <v>32.526000000000003</v>
      </c>
      <c r="E54" s="340"/>
      <c r="F54" s="245"/>
      <c r="G54" s="246"/>
      <c r="H54" s="340">
        <v>0</v>
      </c>
      <c r="I54" s="245">
        <f>H54/D54</f>
        <v>0</v>
      </c>
      <c r="J54" s="247">
        <v>5</v>
      </c>
      <c r="K54" s="245">
        <f t="shared" si="4"/>
        <v>0.15372317530590909</v>
      </c>
      <c r="L54" s="247">
        <f>J54+5.7</f>
        <v>10.7</v>
      </c>
      <c r="M54" s="245">
        <f t="shared" si="1"/>
        <v>0.32896759515464546</v>
      </c>
      <c r="N54" s="247">
        <v>13.3</v>
      </c>
      <c r="O54" s="245">
        <f t="shared" si="5"/>
        <v>0.40890364631371823</v>
      </c>
      <c r="P54" s="433" t="s">
        <v>1488</v>
      </c>
      <c r="Q54" s="433">
        <v>2019</v>
      </c>
    </row>
    <row r="55" spans="1:17">
      <c r="A55" s="433">
        <v>47</v>
      </c>
      <c r="B55" s="435">
        <v>805614</v>
      </c>
      <c r="C55" s="248" t="s">
        <v>667</v>
      </c>
      <c r="D55" s="339">
        <v>16.295999999999999</v>
      </c>
      <c r="E55" s="340">
        <v>4.12</v>
      </c>
      <c r="F55" s="245">
        <f>E55/D55</f>
        <v>0.25282277859597446</v>
      </c>
      <c r="G55" s="246">
        <v>43361</v>
      </c>
      <c r="H55" s="340"/>
      <c r="I55" s="245"/>
      <c r="J55" s="247">
        <v>4.12</v>
      </c>
      <c r="K55" s="245">
        <f t="shared" si="4"/>
        <v>0.25282277859597446</v>
      </c>
      <c r="L55" s="247">
        <v>4.12</v>
      </c>
      <c r="M55" s="245">
        <f t="shared" si="1"/>
        <v>0.25282277859597446</v>
      </c>
      <c r="N55" s="247">
        <v>4.12</v>
      </c>
      <c r="O55" s="245">
        <f t="shared" si="5"/>
        <v>0.25282277859597446</v>
      </c>
      <c r="P55" s="433" t="s">
        <v>1488</v>
      </c>
      <c r="Q55" s="433">
        <v>2019</v>
      </c>
    </row>
    <row r="56" spans="1:17" ht="30">
      <c r="A56" s="433">
        <v>48</v>
      </c>
      <c r="B56" s="435">
        <v>805793</v>
      </c>
      <c r="C56" s="248" t="s">
        <v>671</v>
      </c>
      <c r="D56" s="339">
        <v>17.062000000000001</v>
      </c>
      <c r="E56" s="340"/>
      <c r="F56" s="245"/>
      <c r="G56" s="246"/>
      <c r="H56" s="339">
        <v>0</v>
      </c>
      <c r="I56" s="245">
        <v>0</v>
      </c>
      <c r="J56" s="247">
        <v>5</v>
      </c>
      <c r="K56" s="245">
        <f t="shared" si="4"/>
        <v>0.29304888055327627</v>
      </c>
      <c r="L56" s="247">
        <f>J56+6.6</f>
        <v>11.6</v>
      </c>
      <c r="M56" s="245">
        <f t="shared" si="1"/>
        <v>0.67987340288360087</v>
      </c>
      <c r="N56" s="247">
        <v>11.6</v>
      </c>
      <c r="O56" s="245">
        <f t="shared" si="5"/>
        <v>0.67987340288360087</v>
      </c>
      <c r="P56" s="433" t="s">
        <v>1488</v>
      </c>
      <c r="Q56" s="433">
        <v>2019</v>
      </c>
    </row>
    <row r="57" spans="1:17" ht="60">
      <c r="A57" s="433">
        <v>49</v>
      </c>
      <c r="B57" s="435">
        <v>805795</v>
      </c>
      <c r="C57" s="248" t="s">
        <v>676</v>
      </c>
      <c r="D57" s="339">
        <v>16.161999999999999</v>
      </c>
      <c r="E57" s="340"/>
      <c r="F57" s="245"/>
      <c r="G57" s="246"/>
      <c r="H57" s="339">
        <v>0</v>
      </c>
      <c r="I57" s="245">
        <v>0</v>
      </c>
      <c r="J57" s="247">
        <v>3.762</v>
      </c>
      <c r="K57" s="245">
        <f t="shared" si="4"/>
        <v>0.23276822175473333</v>
      </c>
      <c r="L57" s="247">
        <v>16.161999999999999</v>
      </c>
      <c r="M57" s="245">
        <f t="shared" si="1"/>
        <v>1</v>
      </c>
      <c r="N57" s="247">
        <v>16.161999999999999</v>
      </c>
      <c r="O57" s="245">
        <f t="shared" si="5"/>
        <v>1</v>
      </c>
      <c r="P57" s="433" t="s">
        <v>1488</v>
      </c>
      <c r="Q57" s="433">
        <v>2019</v>
      </c>
    </row>
    <row r="58" spans="1:17" ht="75">
      <c r="A58" s="433">
        <v>50</v>
      </c>
      <c r="B58" s="435">
        <v>805619</v>
      </c>
      <c r="C58" s="248" t="s">
        <v>683</v>
      </c>
      <c r="D58" s="339">
        <v>12.15</v>
      </c>
      <c r="E58" s="340"/>
      <c r="F58" s="245"/>
      <c r="G58" s="246"/>
      <c r="H58" s="340">
        <v>0</v>
      </c>
      <c r="I58" s="245">
        <f>H58/D58</f>
        <v>0</v>
      </c>
      <c r="J58" s="247">
        <v>0</v>
      </c>
      <c r="K58" s="245">
        <f t="shared" si="4"/>
        <v>0</v>
      </c>
      <c r="L58" s="247">
        <f>J58</f>
        <v>0</v>
      </c>
      <c r="M58" s="245">
        <f t="shared" si="1"/>
        <v>0</v>
      </c>
      <c r="N58" s="339">
        <v>2.2000000000000002</v>
      </c>
      <c r="O58" s="245">
        <f t="shared" si="5"/>
        <v>0.18106995884773663</v>
      </c>
      <c r="P58" s="433" t="s">
        <v>1488</v>
      </c>
      <c r="Q58" s="433">
        <v>2019</v>
      </c>
    </row>
    <row r="59" spans="1:17" ht="45">
      <c r="A59" s="433">
        <v>51</v>
      </c>
      <c r="B59" s="435">
        <v>805739</v>
      </c>
      <c r="C59" s="248" t="s">
        <v>685</v>
      </c>
      <c r="D59" s="339">
        <v>16.632999999999999</v>
      </c>
      <c r="E59" s="340"/>
      <c r="F59" s="245"/>
      <c r="G59" s="246"/>
      <c r="H59" s="339">
        <v>0</v>
      </c>
      <c r="I59" s="245">
        <v>0</v>
      </c>
      <c r="J59" s="247">
        <v>10</v>
      </c>
      <c r="K59" s="245">
        <f t="shared" si="4"/>
        <v>0.60121445319545486</v>
      </c>
      <c r="L59" s="247">
        <f>J59</f>
        <v>10</v>
      </c>
      <c r="M59" s="245">
        <f t="shared" si="1"/>
        <v>0.60121445319545486</v>
      </c>
      <c r="N59" s="339">
        <v>16</v>
      </c>
      <c r="O59" s="245">
        <f t="shared" si="5"/>
        <v>0.96194312511272773</v>
      </c>
      <c r="P59" s="433" t="s">
        <v>1488</v>
      </c>
      <c r="Q59" s="433">
        <v>2019</v>
      </c>
    </row>
    <row r="60" spans="1:17" ht="30">
      <c r="A60" s="433">
        <v>53</v>
      </c>
      <c r="B60" s="435">
        <v>805807</v>
      </c>
      <c r="C60" s="244" t="s">
        <v>1485</v>
      </c>
      <c r="D60" s="339">
        <v>83.594999999999999</v>
      </c>
      <c r="E60" s="340"/>
      <c r="F60" s="245"/>
      <c r="G60" s="246"/>
      <c r="H60" s="339">
        <v>6.85</v>
      </c>
      <c r="I60" s="245">
        <f>H60/D60</f>
        <v>8.194269992224415E-2</v>
      </c>
      <c r="J60" s="247">
        <v>27.18</v>
      </c>
      <c r="K60" s="245">
        <f t="shared" si="4"/>
        <v>0.32513906334110892</v>
      </c>
      <c r="L60" s="247">
        <v>27.18</v>
      </c>
      <c r="M60" s="245">
        <f t="shared" si="1"/>
        <v>0.32513906334110892</v>
      </c>
      <c r="N60" s="339">
        <v>83.594999999999999</v>
      </c>
      <c r="O60" s="245">
        <f t="shared" si="5"/>
        <v>1</v>
      </c>
      <c r="P60" s="433" t="s">
        <v>1488</v>
      </c>
      <c r="Q60" s="433">
        <v>2019</v>
      </c>
    </row>
    <row r="61" spans="1:17" ht="30">
      <c r="A61" s="433">
        <v>54</v>
      </c>
      <c r="B61" s="435">
        <v>805807</v>
      </c>
      <c r="C61" s="244" t="s">
        <v>702</v>
      </c>
      <c r="D61" s="339">
        <v>41.61</v>
      </c>
      <c r="E61" s="340"/>
      <c r="F61" s="245"/>
      <c r="G61" s="246"/>
      <c r="H61" s="339">
        <v>0</v>
      </c>
      <c r="I61" s="245">
        <v>0</v>
      </c>
      <c r="J61" s="247">
        <v>15.31</v>
      </c>
      <c r="K61" s="245">
        <f t="shared" si="4"/>
        <v>0.36794039894256192</v>
      </c>
      <c r="L61" s="247">
        <v>15.31</v>
      </c>
      <c r="M61" s="245">
        <f t="shared" si="1"/>
        <v>0.36794039894256192</v>
      </c>
      <c r="N61" s="339">
        <v>41.61</v>
      </c>
      <c r="O61" s="245">
        <f t="shared" si="5"/>
        <v>1</v>
      </c>
      <c r="P61" s="433" t="s">
        <v>1488</v>
      </c>
      <c r="Q61" s="433">
        <v>2019</v>
      </c>
    </row>
    <row r="62" spans="1:17" ht="30">
      <c r="A62" s="433">
        <v>55</v>
      </c>
      <c r="B62" s="435">
        <v>805807</v>
      </c>
      <c r="C62" s="244" t="s">
        <v>69</v>
      </c>
      <c r="D62" s="445">
        <v>29.4</v>
      </c>
      <c r="E62" s="445"/>
      <c r="F62" s="249"/>
      <c r="G62" s="250"/>
      <c r="H62" s="339">
        <v>0</v>
      </c>
      <c r="I62" s="245">
        <v>0</v>
      </c>
      <c r="J62" s="251">
        <v>0</v>
      </c>
      <c r="K62" s="249">
        <f t="shared" si="4"/>
        <v>0</v>
      </c>
      <c r="L62" s="251">
        <v>0</v>
      </c>
      <c r="M62" s="245">
        <f t="shared" si="1"/>
        <v>0</v>
      </c>
      <c r="N62" s="445">
        <v>29.4</v>
      </c>
      <c r="O62" s="249">
        <f t="shared" si="5"/>
        <v>1</v>
      </c>
      <c r="P62" s="433" t="s">
        <v>1488</v>
      </c>
      <c r="Q62" s="433">
        <v>2019</v>
      </c>
    </row>
    <row r="63" spans="1:17" ht="30">
      <c r="A63" s="433">
        <v>56</v>
      </c>
      <c r="B63" s="435">
        <v>805807</v>
      </c>
      <c r="C63" s="244" t="s">
        <v>711</v>
      </c>
      <c r="D63" s="446">
        <v>57.661999999999999</v>
      </c>
      <c r="E63" s="445"/>
      <c r="F63" s="249"/>
      <c r="G63" s="250"/>
      <c r="H63" s="446">
        <v>3</v>
      </c>
      <c r="I63" s="249">
        <f>H63/D63</f>
        <v>5.2027331691581975E-2</v>
      </c>
      <c r="J63" s="251">
        <v>9</v>
      </c>
      <c r="K63" s="249">
        <f t="shared" si="4"/>
        <v>0.15608199507474593</v>
      </c>
      <c r="L63" s="251">
        <v>9</v>
      </c>
      <c r="M63" s="245">
        <f t="shared" si="1"/>
        <v>0.15608199507474593</v>
      </c>
      <c r="N63" s="446">
        <v>57.661999999999999</v>
      </c>
      <c r="O63" s="249">
        <f t="shared" si="5"/>
        <v>1</v>
      </c>
      <c r="P63" s="433" t="s">
        <v>1488</v>
      </c>
      <c r="Q63" s="433">
        <v>2019</v>
      </c>
    </row>
    <row r="64" spans="1:17" ht="30">
      <c r="A64" s="433">
        <v>57</v>
      </c>
      <c r="B64" s="435">
        <v>805742</v>
      </c>
      <c r="C64" s="244" t="s">
        <v>715</v>
      </c>
      <c r="D64" s="339">
        <v>1.4</v>
      </c>
      <c r="E64" s="340"/>
      <c r="F64" s="245"/>
      <c r="G64" s="246"/>
      <c r="H64" s="339">
        <v>0</v>
      </c>
      <c r="I64" s="245">
        <v>0</v>
      </c>
      <c r="J64" s="247">
        <v>0</v>
      </c>
      <c r="K64" s="245">
        <f t="shared" si="4"/>
        <v>0</v>
      </c>
      <c r="L64" s="247">
        <f t="shared" ref="L64:L83" si="6">J64</f>
        <v>0</v>
      </c>
      <c r="M64" s="245">
        <f t="shared" si="1"/>
        <v>0</v>
      </c>
      <c r="N64" s="247">
        <v>0</v>
      </c>
      <c r="O64" s="245">
        <f t="shared" si="5"/>
        <v>0</v>
      </c>
      <c r="P64" s="433" t="s">
        <v>1488</v>
      </c>
      <c r="Q64" s="433">
        <v>2019</v>
      </c>
    </row>
    <row r="65" spans="1:17" ht="30">
      <c r="A65" s="433">
        <v>58</v>
      </c>
      <c r="B65" s="435">
        <v>805805</v>
      </c>
      <c r="C65" s="244" t="s">
        <v>717</v>
      </c>
      <c r="D65" s="339">
        <v>5.9939999999999998</v>
      </c>
      <c r="E65" s="340"/>
      <c r="F65" s="245"/>
      <c r="G65" s="246"/>
      <c r="H65" s="339">
        <v>0</v>
      </c>
      <c r="I65" s="245">
        <v>0</v>
      </c>
      <c r="J65" s="247">
        <v>0</v>
      </c>
      <c r="K65" s="245">
        <f t="shared" si="4"/>
        <v>0</v>
      </c>
      <c r="L65" s="247">
        <f t="shared" si="6"/>
        <v>0</v>
      </c>
      <c r="M65" s="245">
        <f t="shared" si="1"/>
        <v>0</v>
      </c>
      <c r="N65" s="247">
        <v>0</v>
      </c>
      <c r="O65" s="245">
        <f t="shared" si="5"/>
        <v>0</v>
      </c>
      <c r="P65" s="433" t="s">
        <v>1488</v>
      </c>
      <c r="Q65" s="433">
        <v>2019</v>
      </c>
    </row>
    <row r="66" spans="1:17" ht="60">
      <c r="A66" s="433">
        <v>59</v>
      </c>
      <c r="B66" s="435">
        <v>805415</v>
      </c>
      <c r="C66" s="248" t="s">
        <v>720</v>
      </c>
      <c r="D66" s="339">
        <v>10.973000000000001</v>
      </c>
      <c r="E66" s="340"/>
      <c r="F66" s="245"/>
      <c r="G66" s="246"/>
      <c r="H66" s="339">
        <v>0</v>
      </c>
      <c r="I66" s="245">
        <v>0</v>
      </c>
      <c r="J66" s="247">
        <v>0</v>
      </c>
      <c r="K66" s="245">
        <f t="shared" si="4"/>
        <v>0</v>
      </c>
      <c r="L66" s="247">
        <f t="shared" si="6"/>
        <v>0</v>
      </c>
      <c r="M66" s="245">
        <f t="shared" si="1"/>
        <v>0</v>
      </c>
      <c r="N66" s="247">
        <v>0</v>
      </c>
      <c r="O66" s="245">
        <f t="shared" si="5"/>
        <v>0</v>
      </c>
      <c r="P66" s="433" t="s">
        <v>1488</v>
      </c>
      <c r="Q66" s="433">
        <v>2019</v>
      </c>
    </row>
    <row r="67" spans="1:17" ht="45">
      <c r="A67" s="433">
        <v>60</v>
      </c>
      <c r="B67" s="435">
        <v>805580</v>
      </c>
      <c r="C67" s="248" t="s">
        <v>723</v>
      </c>
      <c r="D67" s="339">
        <v>9.0020000000000007</v>
      </c>
      <c r="E67" s="340"/>
      <c r="F67" s="245"/>
      <c r="G67" s="246"/>
      <c r="H67" s="339">
        <v>0</v>
      </c>
      <c r="I67" s="245">
        <v>0</v>
      </c>
      <c r="J67" s="247">
        <v>0</v>
      </c>
      <c r="K67" s="245">
        <f t="shared" si="4"/>
        <v>0</v>
      </c>
      <c r="L67" s="247">
        <f t="shared" si="6"/>
        <v>0</v>
      </c>
      <c r="M67" s="245">
        <f t="shared" si="1"/>
        <v>0</v>
      </c>
      <c r="N67" s="247">
        <v>0</v>
      </c>
      <c r="O67" s="245">
        <f t="shared" si="5"/>
        <v>0</v>
      </c>
      <c r="P67" s="433" t="s">
        <v>1488</v>
      </c>
      <c r="Q67" s="433">
        <v>2019</v>
      </c>
    </row>
    <row r="68" spans="1:17" ht="60">
      <c r="A68" s="433">
        <v>61</v>
      </c>
      <c r="B68" s="435">
        <v>805826</v>
      </c>
      <c r="C68" s="248" t="s">
        <v>726</v>
      </c>
      <c r="D68" s="339">
        <v>3.15</v>
      </c>
      <c r="E68" s="340"/>
      <c r="F68" s="245"/>
      <c r="G68" s="246"/>
      <c r="H68" s="339">
        <v>0</v>
      </c>
      <c r="I68" s="245">
        <f>H68/D68</f>
        <v>0</v>
      </c>
      <c r="J68" s="247">
        <v>0</v>
      </c>
      <c r="K68" s="245">
        <f t="shared" si="4"/>
        <v>0</v>
      </c>
      <c r="L68" s="247">
        <f t="shared" si="6"/>
        <v>0</v>
      </c>
      <c r="M68" s="245">
        <f t="shared" si="1"/>
        <v>0</v>
      </c>
      <c r="N68" s="247">
        <v>0</v>
      </c>
      <c r="O68" s="245">
        <f t="shared" si="5"/>
        <v>0</v>
      </c>
      <c r="P68" s="433" t="s">
        <v>1488</v>
      </c>
      <c r="Q68" s="433">
        <v>2019</v>
      </c>
    </row>
    <row r="69" spans="1:17" ht="60">
      <c r="A69" s="433">
        <v>62</v>
      </c>
      <c r="B69" s="435">
        <v>805418</v>
      </c>
      <c r="C69" s="248" t="s">
        <v>729</v>
      </c>
      <c r="D69" s="339">
        <v>2</v>
      </c>
      <c r="E69" s="340">
        <v>1.83</v>
      </c>
      <c r="F69" s="245">
        <f>E69/D69</f>
        <v>0.91500000000000004</v>
      </c>
      <c r="G69" s="246">
        <v>43361</v>
      </c>
      <c r="H69" s="340"/>
      <c r="I69" s="245"/>
      <c r="J69" s="340">
        <v>1.83</v>
      </c>
      <c r="K69" s="245">
        <f t="shared" si="4"/>
        <v>0.91500000000000004</v>
      </c>
      <c r="L69" s="247">
        <f t="shared" si="6"/>
        <v>1.83</v>
      </c>
      <c r="M69" s="245">
        <f t="shared" si="1"/>
        <v>0.91500000000000004</v>
      </c>
      <c r="N69" s="340">
        <v>1.83</v>
      </c>
      <c r="O69" s="245">
        <f t="shared" si="5"/>
        <v>0.91500000000000004</v>
      </c>
      <c r="P69" s="433" t="s">
        <v>1488</v>
      </c>
      <c r="Q69" s="433">
        <v>2019</v>
      </c>
    </row>
    <row r="70" spans="1:17" ht="60">
      <c r="A70" s="433">
        <v>63</v>
      </c>
      <c r="B70" s="435">
        <v>805646</v>
      </c>
      <c r="C70" s="248" t="s">
        <v>732</v>
      </c>
      <c r="D70" s="339">
        <v>20.3</v>
      </c>
      <c r="E70" s="340"/>
      <c r="F70" s="245"/>
      <c r="G70" s="246"/>
      <c r="H70" s="339">
        <v>0</v>
      </c>
      <c r="I70" s="245">
        <v>0</v>
      </c>
      <c r="J70" s="247">
        <v>0</v>
      </c>
      <c r="K70" s="245">
        <f t="shared" si="4"/>
        <v>0</v>
      </c>
      <c r="L70" s="247">
        <f t="shared" si="6"/>
        <v>0</v>
      </c>
      <c r="M70" s="245">
        <f t="shared" si="1"/>
        <v>0</v>
      </c>
      <c r="N70" s="247">
        <v>0</v>
      </c>
      <c r="O70" s="245">
        <f t="shared" si="5"/>
        <v>0</v>
      </c>
      <c r="P70" s="433" t="s">
        <v>1488</v>
      </c>
      <c r="Q70" s="433">
        <v>2019</v>
      </c>
    </row>
    <row r="71" spans="1:17" ht="45">
      <c r="A71" s="433">
        <v>64</v>
      </c>
      <c r="B71" s="435">
        <v>805424</v>
      </c>
      <c r="C71" s="248" t="s">
        <v>735</v>
      </c>
      <c r="D71" s="339">
        <v>9.8930000000000007</v>
      </c>
      <c r="E71" s="340"/>
      <c r="F71" s="245"/>
      <c r="G71" s="246"/>
      <c r="H71" s="339">
        <v>0</v>
      </c>
      <c r="I71" s="245">
        <v>0</v>
      </c>
      <c r="J71" s="247">
        <v>0</v>
      </c>
      <c r="K71" s="245">
        <f t="shared" si="4"/>
        <v>0</v>
      </c>
      <c r="L71" s="247">
        <f t="shared" si="6"/>
        <v>0</v>
      </c>
      <c r="M71" s="245">
        <f t="shared" si="1"/>
        <v>0</v>
      </c>
      <c r="N71" s="247">
        <v>0</v>
      </c>
      <c r="O71" s="245">
        <f t="shared" si="5"/>
        <v>0</v>
      </c>
      <c r="P71" s="433" t="s">
        <v>1488</v>
      </c>
      <c r="Q71" s="433">
        <v>2019</v>
      </c>
    </row>
    <row r="72" spans="1:17" ht="30">
      <c r="A72" s="433">
        <v>65</v>
      </c>
      <c r="B72" s="435">
        <v>805806</v>
      </c>
      <c r="C72" s="244" t="s">
        <v>738</v>
      </c>
      <c r="D72" s="339">
        <v>6</v>
      </c>
      <c r="E72" s="340"/>
      <c r="F72" s="245"/>
      <c r="G72" s="246"/>
      <c r="H72" s="339">
        <v>0</v>
      </c>
      <c r="I72" s="245">
        <v>0</v>
      </c>
      <c r="J72" s="247">
        <v>0</v>
      </c>
      <c r="K72" s="245">
        <f t="shared" si="4"/>
        <v>0</v>
      </c>
      <c r="L72" s="247">
        <f t="shared" si="6"/>
        <v>0</v>
      </c>
      <c r="M72" s="245">
        <f t="shared" si="1"/>
        <v>0</v>
      </c>
      <c r="N72" s="247">
        <v>0</v>
      </c>
      <c r="O72" s="245">
        <f t="shared" si="5"/>
        <v>0</v>
      </c>
      <c r="P72" s="433" t="s">
        <v>1488</v>
      </c>
      <c r="Q72" s="433">
        <v>2019</v>
      </c>
    </row>
    <row r="73" spans="1:17" ht="60">
      <c r="A73" s="433">
        <v>66</v>
      </c>
      <c r="B73" s="435">
        <v>805845</v>
      </c>
      <c r="C73" s="248" t="s">
        <v>741</v>
      </c>
      <c r="D73" s="339">
        <v>1.1000000000000001</v>
      </c>
      <c r="E73" s="340"/>
      <c r="F73" s="245"/>
      <c r="G73" s="246"/>
      <c r="H73" s="339">
        <v>0</v>
      </c>
      <c r="I73" s="245">
        <v>0</v>
      </c>
      <c r="J73" s="247">
        <v>0</v>
      </c>
      <c r="K73" s="245">
        <f t="shared" si="4"/>
        <v>0</v>
      </c>
      <c r="L73" s="247">
        <f t="shared" si="6"/>
        <v>0</v>
      </c>
      <c r="M73" s="245">
        <f t="shared" ref="M73:M136" si="7">L73/D73</f>
        <v>0</v>
      </c>
      <c r="N73" s="247">
        <v>0</v>
      </c>
      <c r="O73" s="245">
        <f t="shared" ref="O73:O104" si="8">N73/D73</f>
        <v>0</v>
      </c>
      <c r="P73" s="433" t="s">
        <v>1488</v>
      </c>
      <c r="Q73" s="433">
        <v>2019</v>
      </c>
    </row>
    <row r="74" spans="1:17" ht="30">
      <c r="A74" s="433">
        <v>67</v>
      </c>
      <c r="B74" s="435">
        <v>805597</v>
      </c>
      <c r="C74" s="248" t="s">
        <v>744</v>
      </c>
      <c r="D74" s="339">
        <v>14.45</v>
      </c>
      <c r="E74" s="340"/>
      <c r="F74" s="245"/>
      <c r="G74" s="246"/>
      <c r="H74" s="339">
        <v>0</v>
      </c>
      <c r="I74" s="245">
        <v>0</v>
      </c>
      <c r="J74" s="247">
        <v>0</v>
      </c>
      <c r="K74" s="245">
        <f t="shared" si="4"/>
        <v>0</v>
      </c>
      <c r="L74" s="247">
        <f t="shared" si="6"/>
        <v>0</v>
      </c>
      <c r="M74" s="245">
        <f t="shared" si="7"/>
        <v>0</v>
      </c>
      <c r="N74" s="247">
        <v>0</v>
      </c>
      <c r="O74" s="245">
        <f t="shared" si="8"/>
        <v>0</v>
      </c>
      <c r="P74" s="433" t="s">
        <v>1488</v>
      </c>
      <c r="Q74" s="433">
        <v>2019</v>
      </c>
    </row>
    <row r="75" spans="1:17" ht="30">
      <c r="A75" s="433">
        <v>68</v>
      </c>
      <c r="B75" s="435">
        <v>805542</v>
      </c>
      <c r="C75" s="248" t="s">
        <v>747</v>
      </c>
      <c r="D75" s="339">
        <v>10.76</v>
      </c>
      <c r="E75" s="340"/>
      <c r="F75" s="245"/>
      <c r="G75" s="246"/>
      <c r="H75" s="339">
        <v>0</v>
      </c>
      <c r="I75" s="245">
        <v>0</v>
      </c>
      <c r="J75" s="247">
        <v>0</v>
      </c>
      <c r="K75" s="245">
        <f t="shared" si="4"/>
        <v>0</v>
      </c>
      <c r="L75" s="247">
        <f t="shared" si="6"/>
        <v>0</v>
      </c>
      <c r="M75" s="245">
        <f t="shared" si="7"/>
        <v>0</v>
      </c>
      <c r="N75" s="339">
        <v>0</v>
      </c>
      <c r="O75" s="245">
        <f t="shared" si="8"/>
        <v>0</v>
      </c>
      <c r="P75" s="433" t="s">
        <v>1488</v>
      </c>
      <c r="Q75" s="433">
        <v>2019</v>
      </c>
    </row>
    <row r="76" spans="1:17" ht="30">
      <c r="A76" s="433">
        <v>69</v>
      </c>
      <c r="B76" s="435">
        <v>805659</v>
      </c>
      <c r="C76" s="248" t="s">
        <v>750</v>
      </c>
      <c r="D76" s="339">
        <v>46.51</v>
      </c>
      <c r="E76" s="340"/>
      <c r="F76" s="245"/>
      <c r="G76" s="246"/>
      <c r="H76" s="339">
        <v>0</v>
      </c>
      <c r="I76" s="245">
        <v>0</v>
      </c>
      <c r="J76" s="247">
        <v>0</v>
      </c>
      <c r="K76" s="245">
        <f t="shared" si="4"/>
        <v>0</v>
      </c>
      <c r="L76" s="247">
        <f t="shared" si="6"/>
        <v>0</v>
      </c>
      <c r="M76" s="245">
        <f t="shared" si="7"/>
        <v>0</v>
      </c>
      <c r="N76" s="247">
        <v>0</v>
      </c>
      <c r="O76" s="245">
        <f t="shared" si="8"/>
        <v>0</v>
      </c>
      <c r="P76" s="433" t="s">
        <v>1488</v>
      </c>
      <c r="Q76" s="433">
        <v>2019</v>
      </c>
    </row>
    <row r="77" spans="1:17">
      <c r="A77" s="433">
        <v>70</v>
      </c>
      <c r="B77" s="435">
        <v>805446</v>
      </c>
      <c r="C77" s="248" t="s">
        <v>753</v>
      </c>
      <c r="D77" s="339">
        <v>2.78</v>
      </c>
      <c r="E77" s="340"/>
      <c r="F77" s="245"/>
      <c r="G77" s="246"/>
      <c r="H77" s="339">
        <v>0</v>
      </c>
      <c r="I77" s="245">
        <v>0</v>
      </c>
      <c r="J77" s="247">
        <v>0</v>
      </c>
      <c r="K77" s="245">
        <f t="shared" si="4"/>
        <v>0</v>
      </c>
      <c r="L77" s="247">
        <f t="shared" si="6"/>
        <v>0</v>
      </c>
      <c r="M77" s="245">
        <f t="shared" si="7"/>
        <v>0</v>
      </c>
      <c r="N77" s="339">
        <v>2</v>
      </c>
      <c r="O77" s="245">
        <f t="shared" si="8"/>
        <v>0.71942446043165476</v>
      </c>
      <c r="P77" s="433" t="s">
        <v>1488</v>
      </c>
      <c r="Q77" s="433">
        <v>2019</v>
      </c>
    </row>
    <row r="78" spans="1:17">
      <c r="A78" s="433">
        <v>71</v>
      </c>
      <c r="B78" s="435">
        <v>805500</v>
      </c>
      <c r="C78" s="248" t="s">
        <v>756</v>
      </c>
      <c r="D78" s="339">
        <v>12.58</v>
      </c>
      <c r="E78" s="340"/>
      <c r="F78" s="245"/>
      <c r="G78" s="246"/>
      <c r="H78" s="339">
        <v>0</v>
      </c>
      <c r="I78" s="245">
        <v>0</v>
      </c>
      <c r="J78" s="247">
        <v>0</v>
      </c>
      <c r="K78" s="245">
        <f t="shared" si="4"/>
        <v>0</v>
      </c>
      <c r="L78" s="247">
        <f t="shared" si="6"/>
        <v>0</v>
      </c>
      <c r="M78" s="245">
        <f t="shared" si="7"/>
        <v>0</v>
      </c>
      <c r="N78" s="247">
        <v>0</v>
      </c>
      <c r="O78" s="245">
        <f t="shared" si="8"/>
        <v>0</v>
      </c>
      <c r="P78" s="433" t="s">
        <v>1488</v>
      </c>
      <c r="Q78" s="433">
        <v>2019</v>
      </c>
    </row>
    <row r="79" spans="1:17" ht="60">
      <c r="A79" s="433">
        <v>72</v>
      </c>
      <c r="B79" s="435">
        <v>805673</v>
      </c>
      <c r="C79" s="248" t="s">
        <v>1486</v>
      </c>
      <c r="D79" s="339">
        <v>14.06</v>
      </c>
      <c r="E79" s="340"/>
      <c r="F79" s="245"/>
      <c r="G79" s="246"/>
      <c r="H79" s="339">
        <v>0</v>
      </c>
      <c r="I79" s="245">
        <v>0</v>
      </c>
      <c r="J79" s="247">
        <v>0</v>
      </c>
      <c r="K79" s="245">
        <f t="shared" si="4"/>
        <v>0</v>
      </c>
      <c r="L79" s="247">
        <f t="shared" si="6"/>
        <v>0</v>
      </c>
      <c r="M79" s="245">
        <f t="shared" si="7"/>
        <v>0</v>
      </c>
      <c r="N79" s="247">
        <v>0</v>
      </c>
      <c r="O79" s="245">
        <f t="shared" si="8"/>
        <v>0</v>
      </c>
      <c r="P79" s="433" t="s">
        <v>1488</v>
      </c>
      <c r="Q79" s="433">
        <v>2019</v>
      </c>
    </row>
    <row r="80" spans="1:17">
      <c r="A80" s="433">
        <v>73</v>
      </c>
      <c r="B80" s="435">
        <v>805625</v>
      </c>
      <c r="C80" s="248" t="s">
        <v>762</v>
      </c>
      <c r="D80" s="339">
        <v>3.9</v>
      </c>
      <c r="E80" s="340"/>
      <c r="F80" s="245"/>
      <c r="G80" s="246"/>
      <c r="H80" s="339">
        <v>0</v>
      </c>
      <c r="I80" s="245">
        <v>0</v>
      </c>
      <c r="J80" s="247">
        <v>0</v>
      </c>
      <c r="K80" s="245">
        <f t="shared" si="4"/>
        <v>0</v>
      </c>
      <c r="L80" s="247">
        <f t="shared" si="6"/>
        <v>0</v>
      </c>
      <c r="M80" s="245">
        <f t="shared" si="7"/>
        <v>0</v>
      </c>
      <c r="N80" s="247">
        <v>1</v>
      </c>
      <c r="O80" s="245">
        <f t="shared" si="8"/>
        <v>0.25641025641025644</v>
      </c>
      <c r="P80" s="433" t="s">
        <v>1488</v>
      </c>
      <c r="Q80" s="433">
        <v>2019</v>
      </c>
    </row>
    <row r="81" spans="1:17" ht="45">
      <c r="A81" s="433">
        <v>74</v>
      </c>
      <c r="B81" s="435">
        <v>805489</v>
      </c>
      <c r="C81" s="248" t="s">
        <v>765</v>
      </c>
      <c r="D81" s="339">
        <v>67.31</v>
      </c>
      <c r="E81" s="340"/>
      <c r="F81" s="245"/>
      <c r="G81" s="246"/>
      <c r="H81" s="339">
        <v>0</v>
      </c>
      <c r="I81" s="245">
        <f>H81/D81</f>
        <v>0</v>
      </c>
      <c r="J81" s="247">
        <v>0</v>
      </c>
      <c r="K81" s="245">
        <f t="shared" si="4"/>
        <v>0</v>
      </c>
      <c r="L81" s="247">
        <f t="shared" si="6"/>
        <v>0</v>
      </c>
      <c r="M81" s="245">
        <f t="shared" si="7"/>
        <v>0</v>
      </c>
      <c r="N81" s="247">
        <v>0</v>
      </c>
      <c r="O81" s="245">
        <f t="shared" si="8"/>
        <v>0</v>
      </c>
      <c r="P81" s="433" t="s">
        <v>1488</v>
      </c>
      <c r="Q81" s="433">
        <v>2019</v>
      </c>
    </row>
    <row r="82" spans="1:17" ht="60">
      <c r="A82" s="433">
        <v>75</v>
      </c>
      <c r="B82" s="435">
        <v>805608</v>
      </c>
      <c r="C82" s="248" t="s">
        <v>768</v>
      </c>
      <c r="D82" s="339">
        <v>5.9050000000000002</v>
      </c>
      <c r="E82" s="340"/>
      <c r="F82" s="245"/>
      <c r="G82" s="246"/>
      <c r="H82" s="339">
        <v>0</v>
      </c>
      <c r="I82" s="245">
        <v>0</v>
      </c>
      <c r="J82" s="247">
        <v>0</v>
      </c>
      <c r="K82" s="245">
        <f t="shared" si="4"/>
        <v>0</v>
      </c>
      <c r="L82" s="247">
        <f t="shared" si="6"/>
        <v>0</v>
      </c>
      <c r="M82" s="245">
        <f t="shared" si="7"/>
        <v>0</v>
      </c>
      <c r="N82" s="339">
        <v>0</v>
      </c>
      <c r="O82" s="245">
        <f t="shared" si="8"/>
        <v>0</v>
      </c>
      <c r="P82" s="433" t="s">
        <v>1488</v>
      </c>
      <c r="Q82" s="433">
        <v>2019</v>
      </c>
    </row>
    <row r="83" spans="1:17">
      <c r="A83" s="433">
        <v>76</v>
      </c>
      <c r="B83" s="435">
        <v>805687</v>
      </c>
      <c r="C83" s="248" t="s">
        <v>771</v>
      </c>
      <c r="D83" s="339">
        <v>29.706</v>
      </c>
      <c r="E83" s="340"/>
      <c r="F83" s="245"/>
      <c r="G83" s="246"/>
      <c r="H83" s="339">
        <v>0</v>
      </c>
      <c r="I83" s="245">
        <v>0</v>
      </c>
      <c r="J83" s="247">
        <v>0</v>
      </c>
      <c r="K83" s="245">
        <f t="shared" si="4"/>
        <v>0</v>
      </c>
      <c r="L83" s="247">
        <f t="shared" si="6"/>
        <v>0</v>
      </c>
      <c r="M83" s="245">
        <f t="shared" si="7"/>
        <v>0</v>
      </c>
      <c r="N83" s="247">
        <v>0</v>
      </c>
      <c r="O83" s="245">
        <f t="shared" si="8"/>
        <v>0</v>
      </c>
      <c r="P83" s="433" t="s">
        <v>1488</v>
      </c>
      <c r="Q83" s="433">
        <v>2019</v>
      </c>
    </row>
    <row r="84" spans="1:17" ht="45">
      <c r="A84" s="433">
        <v>77</v>
      </c>
      <c r="B84" s="435">
        <v>805649</v>
      </c>
      <c r="C84" s="248" t="s">
        <v>774</v>
      </c>
      <c r="D84" s="339">
        <v>35.399000000000001</v>
      </c>
      <c r="E84" s="340">
        <v>5.25</v>
      </c>
      <c r="F84" s="245">
        <f>E84/D84</f>
        <v>0.14830927427328455</v>
      </c>
      <c r="G84" s="246">
        <v>43361</v>
      </c>
      <c r="H84" s="340"/>
      <c r="I84" s="245"/>
      <c r="J84" s="247">
        <v>5.25</v>
      </c>
      <c r="K84" s="245">
        <f t="shared" si="4"/>
        <v>0.14830927427328455</v>
      </c>
      <c r="L84" s="247">
        <f>J84+5</f>
        <v>10.25</v>
      </c>
      <c r="M84" s="245">
        <f t="shared" si="7"/>
        <v>0.28955620215260319</v>
      </c>
      <c r="N84" s="339">
        <v>21.25</v>
      </c>
      <c r="O84" s="245">
        <f t="shared" si="8"/>
        <v>0.60029944348710418</v>
      </c>
      <c r="P84" s="433" t="s">
        <v>1488</v>
      </c>
      <c r="Q84" s="433">
        <v>2019</v>
      </c>
    </row>
    <row r="85" spans="1:17" ht="30">
      <c r="A85" s="433">
        <v>78</v>
      </c>
      <c r="B85" s="435">
        <v>805600</v>
      </c>
      <c r="C85" s="248" t="s">
        <v>777</v>
      </c>
      <c r="D85" s="339">
        <v>65.94</v>
      </c>
      <c r="E85" s="340"/>
      <c r="F85" s="245"/>
      <c r="G85" s="246"/>
      <c r="H85" s="339">
        <v>0</v>
      </c>
      <c r="I85" s="245">
        <v>0</v>
      </c>
      <c r="J85" s="247">
        <v>0</v>
      </c>
      <c r="K85" s="245">
        <f t="shared" si="4"/>
        <v>0</v>
      </c>
      <c r="L85" s="247">
        <v>5</v>
      </c>
      <c r="M85" s="245">
        <f t="shared" si="7"/>
        <v>7.5826508947528057E-2</v>
      </c>
      <c r="N85" s="247">
        <v>16</v>
      </c>
      <c r="O85" s="245">
        <f t="shared" si="8"/>
        <v>0.24264482863208978</v>
      </c>
      <c r="P85" s="433" t="s">
        <v>1488</v>
      </c>
      <c r="Q85" s="433">
        <v>2019</v>
      </c>
    </row>
    <row r="86" spans="1:17" ht="30">
      <c r="A86" s="433">
        <v>79</v>
      </c>
      <c r="B86" s="435">
        <v>805766</v>
      </c>
      <c r="C86" s="248" t="s">
        <v>782</v>
      </c>
      <c r="D86" s="339">
        <v>58.83</v>
      </c>
      <c r="E86" s="340">
        <v>17.349799999999998</v>
      </c>
      <c r="F86" s="245">
        <f>E86/D86</f>
        <v>0.2949141594424613</v>
      </c>
      <c r="G86" s="246">
        <v>43361</v>
      </c>
      <c r="H86" s="340"/>
      <c r="I86" s="245"/>
      <c r="J86" s="247">
        <v>30.5</v>
      </c>
      <c r="K86" s="245">
        <f t="shared" si="4"/>
        <v>0.51844297127315997</v>
      </c>
      <c r="L86" s="247">
        <v>30.5</v>
      </c>
      <c r="M86" s="245">
        <f t="shared" si="7"/>
        <v>0.51844297127315997</v>
      </c>
      <c r="N86" s="247">
        <v>30.5</v>
      </c>
      <c r="O86" s="245">
        <f t="shared" si="8"/>
        <v>0.51844297127315997</v>
      </c>
      <c r="P86" s="433" t="s">
        <v>1488</v>
      </c>
      <c r="Q86" s="433">
        <v>2019</v>
      </c>
    </row>
    <row r="87" spans="1:17">
      <c r="A87" s="433">
        <v>80</v>
      </c>
      <c r="B87" s="435">
        <v>805706</v>
      </c>
      <c r="C87" s="248" t="s">
        <v>793</v>
      </c>
      <c r="D87" s="339">
        <v>60.551000000000002</v>
      </c>
      <c r="E87" s="340"/>
      <c r="F87" s="245"/>
      <c r="G87" s="246"/>
      <c r="H87" s="339">
        <v>0</v>
      </c>
      <c r="I87" s="245">
        <v>0</v>
      </c>
      <c r="J87" s="247">
        <v>0</v>
      </c>
      <c r="K87" s="245">
        <f t="shared" si="4"/>
        <v>0</v>
      </c>
      <c r="L87" s="247">
        <f>J87</f>
        <v>0</v>
      </c>
      <c r="M87" s="245">
        <f t="shared" si="7"/>
        <v>0</v>
      </c>
      <c r="N87" s="247">
        <v>0</v>
      </c>
      <c r="O87" s="245">
        <f t="shared" si="8"/>
        <v>0</v>
      </c>
      <c r="P87" s="433" t="s">
        <v>1488</v>
      </c>
      <c r="Q87" s="433">
        <v>2019</v>
      </c>
    </row>
    <row r="88" spans="1:17" ht="30">
      <c r="A88" s="433">
        <v>81</v>
      </c>
      <c r="B88" s="435">
        <v>805873</v>
      </c>
      <c r="C88" s="244" t="s">
        <v>796</v>
      </c>
      <c r="D88" s="339">
        <v>62.23</v>
      </c>
      <c r="E88" s="340"/>
      <c r="F88" s="245"/>
      <c r="G88" s="246"/>
      <c r="H88" s="339">
        <v>0</v>
      </c>
      <c r="I88" s="245">
        <v>0</v>
      </c>
      <c r="J88" s="247">
        <v>5</v>
      </c>
      <c r="K88" s="245">
        <f t="shared" si="4"/>
        <v>8.0347099469709152E-2</v>
      </c>
      <c r="L88" s="247">
        <f>J88+5</f>
        <v>10</v>
      </c>
      <c r="M88" s="245">
        <f t="shared" si="7"/>
        <v>0.1606941989394183</v>
      </c>
      <c r="N88" s="247">
        <v>22.5</v>
      </c>
      <c r="O88" s="245">
        <f t="shared" si="8"/>
        <v>0.36156194761369115</v>
      </c>
      <c r="P88" s="433" t="s">
        <v>1488</v>
      </c>
      <c r="Q88" s="433">
        <v>2019</v>
      </c>
    </row>
    <row r="89" spans="1:17" ht="45">
      <c r="A89" s="433">
        <v>82</v>
      </c>
      <c r="B89" s="252" t="s">
        <v>802</v>
      </c>
      <c r="C89" s="248" t="s">
        <v>803</v>
      </c>
      <c r="D89" s="339">
        <v>32.200000000000003</v>
      </c>
      <c r="E89" s="448">
        <v>9.6750000000000007</v>
      </c>
      <c r="F89" s="245">
        <f>E89/D89</f>
        <v>0.30046583850931674</v>
      </c>
      <c r="G89" s="246">
        <v>43361</v>
      </c>
      <c r="H89" s="340"/>
      <c r="I89" s="245"/>
      <c r="J89" s="251">
        <v>14.675000000000001</v>
      </c>
      <c r="K89" s="245">
        <f t="shared" si="4"/>
        <v>0.45574534161490682</v>
      </c>
      <c r="L89" s="247">
        <v>20.844999999999999</v>
      </c>
      <c r="M89" s="245">
        <f t="shared" si="7"/>
        <v>0.64736024844720486</v>
      </c>
      <c r="N89" s="247">
        <v>20.844999999999999</v>
      </c>
      <c r="O89" s="245">
        <f t="shared" si="8"/>
        <v>0.64736024844720486</v>
      </c>
      <c r="P89" s="433" t="s">
        <v>1488</v>
      </c>
      <c r="Q89" s="433">
        <v>2019</v>
      </c>
    </row>
    <row r="90" spans="1:17" ht="30">
      <c r="A90" s="433">
        <v>83</v>
      </c>
      <c r="B90" s="435">
        <v>805556</v>
      </c>
      <c r="C90" s="248" t="s">
        <v>819</v>
      </c>
      <c r="D90" s="339">
        <v>33.75</v>
      </c>
      <c r="E90" s="340"/>
      <c r="F90" s="245"/>
      <c r="G90" s="246"/>
      <c r="H90" s="339">
        <v>0</v>
      </c>
      <c r="I90" s="245">
        <v>0</v>
      </c>
      <c r="J90" s="247">
        <v>0</v>
      </c>
      <c r="K90" s="245">
        <f t="shared" si="4"/>
        <v>0</v>
      </c>
      <c r="L90" s="247">
        <f t="shared" ref="L90:L99" si="9">J90</f>
        <v>0</v>
      </c>
      <c r="M90" s="245">
        <f t="shared" si="7"/>
        <v>0</v>
      </c>
      <c r="N90" s="339">
        <v>0</v>
      </c>
      <c r="O90" s="245">
        <f t="shared" si="8"/>
        <v>0</v>
      </c>
      <c r="P90" s="433" t="s">
        <v>1488</v>
      </c>
      <c r="Q90" s="433">
        <v>2019</v>
      </c>
    </row>
    <row r="91" spans="1:17" ht="30">
      <c r="A91" s="433">
        <v>84</v>
      </c>
      <c r="B91" s="435">
        <v>805704</v>
      </c>
      <c r="C91" s="248" t="s">
        <v>822</v>
      </c>
      <c r="D91" s="339">
        <v>9.2899999999999991</v>
      </c>
      <c r="E91" s="340"/>
      <c r="F91" s="245"/>
      <c r="G91" s="246"/>
      <c r="H91" s="339">
        <v>0</v>
      </c>
      <c r="I91" s="245">
        <v>0</v>
      </c>
      <c r="J91" s="247">
        <v>0</v>
      </c>
      <c r="K91" s="245">
        <f t="shared" ref="K91:K98" si="10">J91/D91</f>
        <v>0</v>
      </c>
      <c r="L91" s="247">
        <f t="shared" si="9"/>
        <v>0</v>
      </c>
      <c r="M91" s="245">
        <f t="shared" si="7"/>
        <v>0</v>
      </c>
      <c r="N91" s="339">
        <v>0.47</v>
      </c>
      <c r="O91" s="245">
        <f t="shared" si="8"/>
        <v>5.0592034445640477E-2</v>
      </c>
      <c r="P91" s="433" t="s">
        <v>1488</v>
      </c>
      <c r="Q91" s="433">
        <v>2019</v>
      </c>
    </row>
    <row r="92" spans="1:17" ht="60">
      <c r="A92" s="433">
        <v>85</v>
      </c>
      <c r="B92" s="435">
        <v>805551</v>
      </c>
      <c r="C92" s="248" t="s">
        <v>825</v>
      </c>
      <c r="D92" s="339">
        <v>4.7</v>
      </c>
      <c r="E92" s="340"/>
      <c r="F92" s="245"/>
      <c r="G92" s="246"/>
      <c r="H92" s="339">
        <v>0</v>
      </c>
      <c r="I92" s="245">
        <v>0</v>
      </c>
      <c r="J92" s="247">
        <v>0</v>
      </c>
      <c r="K92" s="245">
        <f t="shared" si="10"/>
        <v>0</v>
      </c>
      <c r="L92" s="247">
        <f t="shared" si="9"/>
        <v>0</v>
      </c>
      <c r="M92" s="245">
        <f t="shared" si="7"/>
        <v>0</v>
      </c>
      <c r="N92" s="339">
        <v>0</v>
      </c>
      <c r="O92" s="245">
        <f t="shared" si="8"/>
        <v>0</v>
      </c>
      <c r="P92" s="433" t="s">
        <v>1488</v>
      </c>
      <c r="Q92" s="433">
        <v>2019</v>
      </c>
    </row>
    <row r="93" spans="1:17">
      <c r="A93" s="433">
        <v>86</v>
      </c>
      <c r="B93" s="435">
        <v>805459</v>
      </c>
      <c r="C93" s="248" t="s">
        <v>828</v>
      </c>
      <c r="D93" s="339">
        <v>15.66</v>
      </c>
      <c r="E93" s="340"/>
      <c r="F93" s="245"/>
      <c r="G93" s="246"/>
      <c r="H93" s="339">
        <v>0</v>
      </c>
      <c r="I93" s="245">
        <v>0</v>
      </c>
      <c r="J93" s="247">
        <v>0</v>
      </c>
      <c r="K93" s="245">
        <f t="shared" si="10"/>
        <v>0</v>
      </c>
      <c r="L93" s="247">
        <f t="shared" si="9"/>
        <v>0</v>
      </c>
      <c r="M93" s="245">
        <f t="shared" si="7"/>
        <v>0</v>
      </c>
      <c r="N93" s="339">
        <v>0</v>
      </c>
      <c r="O93" s="245">
        <f t="shared" si="8"/>
        <v>0</v>
      </c>
      <c r="P93" s="433" t="s">
        <v>1488</v>
      </c>
      <c r="Q93" s="433">
        <v>2019</v>
      </c>
    </row>
    <row r="94" spans="1:17" ht="30">
      <c r="A94" s="433">
        <v>87</v>
      </c>
      <c r="B94" s="435">
        <v>805873</v>
      </c>
      <c r="C94" s="248" t="s">
        <v>830</v>
      </c>
      <c r="D94" s="339">
        <v>51.4</v>
      </c>
      <c r="E94" s="340">
        <v>5.77</v>
      </c>
      <c r="F94" s="245">
        <f>E94/D94</f>
        <v>0.11225680933852139</v>
      </c>
      <c r="G94" s="246">
        <v>43361</v>
      </c>
      <c r="H94" s="445"/>
      <c r="I94" s="245"/>
      <c r="J94" s="247">
        <v>5.77</v>
      </c>
      <c r="K94" s="245">
        <f t="shared" si="10"/>
        <v>0.11225680933852139</v>
      </c>
      <c r="L94" s="247">
        <v>15.77</v>
      </c>
      <c r="M94" s="245">
        <f t="shared" si="7"/>
        <v>0.3068093385214008</v>
      </c>
      <c r="N94" s="247">
        <v>15.77</v>
      </c>
      <c r="O94" s="245">
        <f t="shared" si="8"/>
        <v>0.3068093385214008</v>
      </c>
      <c r="P94" s="433" t="s">
        <v>1488</v>
      </c>
      <c r="Q94" s="433">
        <v>2019</v>
      </c>
    </row>
    <row r="95" spans="1:17" ht="30">
      <c r="A95" s="433">
        <v>117</v>
      </c>
      <c r="B95" s="252">
        <v>805620</v>
      </c>
      <c r="C95" s="248" t="s">
        <v>831</v>
      </c>
      <c r="D95" s="339">
        <v>22.1</v>
      </c>
      <c r="E95" s="340"/>
      <c r="F95" s="245"/>
      <c r="G95" s="246"/>
      <c r="H95" s="340">
        <v>0</v>
      </c>
      <c r="I95" s="245">
        <f>H95/D95</f>
        <v>0</v>
      </c>
      <c r="J95" s="247">
        <v>0</v>
      </c>
      <c r="K95" s="245">
        <f t="shared" si="10"/>
        <v>0</v>
      </c>
      <c r="L95" s="247">
        <f t="shared" si="9"/>
        <v>0</v>
      </c>
      <c r="M95" s="245">
        <f t="shared" si="7"/>
        <v>0</v>
      </c>
      <c r="N95" s="247">
        <v>5</v>
      </c>
      <c r="O95" s="245">
        <f t="shared" si="8"/>
        <v>0.22624434389140269</v>
      </c>
      <c r="P95" s="433" t="s">
        <v>1488</v>
      </c>
      <c r="Q95" s="433">
        <v>2019</v>
      </c>
    </row>
    <row r="96" spans="1:17" ht="30">
      <c r="A96" s="433">
        <v>118</v>
      </c>
      <c r="B96" s="252" t="s">
        <v>1487</v>
      </c>
      <c r="C96" s="248" t="s">
        <v>833</v>
      </c>
      <c r="D96" s="339">
        <v>8</v>
      </c>
      <c r="E96" s="340"/>
      <c r="F96" s="245"/>
      <c r="G96" s="246"/>
      <c r="H96" s="340">
        <v>2.2000000000000002</v>
      </c>
      <c r="I96" s="245">
        <f>H96/D96</f>
        <v>0.27500000000000002</v>
      </c>
      <c r="J96" s="247">
        <v>2.2000000000000002</v>
      </c>
      <c r="K96" s="245">
        <f t="shared" si="10"/>
        <v>0.27500000000000002</v>
      </c>
      <c r="L96" s="247">
        <f t="shared" si="9"/>
        <v>2.2000000000000002</v>
      </c>
      <c r="M96" s="245">
        <f t="shared" si="7"/>
        <v>0.27500000000000002</v>
      </c>
      <c r="N96" s="247">
        <v>8</v>
      </c>
      <c r="O96" s="245">
        <f t="shared" si="8"/>
        <v>1</v>
      </c>
      <c r="P96" s="433" t="s">
        <v>1488</v>
      </c>
      <c r="Q96" s="433">
        <v>2019</v>
      </c>
    </row>
    <row r="97" spans="1:17">
      <c r="A97" s="433">
        <v>119</v>
      </c>
      <c r="B97" s="252" t="s">
        <v>836</v>
      </c>
      <c r="C97" s="248" t="s">
        <v>837</v>
      </c>
      <c r="D97" s="339">
        <v>15</v>
      </c>
      <c r="E97" s="340"/>
      <c r="F97" s="245"/>
      <c r="G97" s="246"/>
      <c r="H97" s="340">
        <v>0</v>
      </c>
      <c r="I97" s="245">
        <f>H97/D97</f>
        <v>0</v>
      </c>
      <c r="J97" s="247">
        <v>1.5840000000000001</v>
      </c>
      <c r="K97" s="245">
        <f t="shared" si="10"/>
        <v>0.1056</v>
      </c>
      <c r="L97" s="247">
        <f t="shared" si="9"/>
        <v>1.5840000000000001</v>
      </c>
      <c r="M97" s="245">
        <f t="shared" si="7"/>
        <v>0.1056</v>
      </c>
      <c r="N97" s="247">
        <v>13.584</v>
      </c>
      <c r="O97" s="245">
        <f t="shared" si="8"/>
        <v>0.90559999999999996</v>
      </c>
      <c r="P97" s="433" t="s">
        <v>1488</v>
      </c>
      <c r="Q97" s="433">
        <v>2019</v>
      </c>
    </row>
    <row r="98" spans="1:17" ht="30">
      <c r="A98" s="252">
        <v>120</v>
      </c>
      <c r="B98" s="252"/>
      <c r="C98" s="253" t="s">
        <v>840</v>
      </c>
      <c r="D98" s="339">
        <v>16</v>
      </c>
      <c r="E98" s="247"/>
      <c r="F98" s="433"/>
      <c r="G98" s="433"/>
      <c r="H98" s="247"/>
      <c r="I98" s="245">
        <f>H98/D98</f>
        <v>0</v>
      </c>
      <c r="J98" s="247">
        <v>0</v>
      </c>
      <c r="K98" s="245">
        <f t="shared" si="10"/>
        <v>0</v>
      </c>
      <c r="L98" s="247">
        <f t="shared" si="9"/>
        <v>0</v>
      </c>
      <c r="M98" s="245">
        <f t="shared" si="7"/>
        <v>0</v>
      </c>
      <c r="N98" s="247">
        <v>16</v>
      </c>
      <c r="O98" s="245">
        <f t="shared" si="8"/>
        <v>1</v>
      </c>
      <c r="P98" s="433" t="s">
        <v>1488</v>
      </c>
      <c r="Q98" s="433">
        <v>2019</v>
      </c>
    </row>
    <row r="99" spans="1:17" ht="45.75" thickBot="1">
      <c r="A99" s="252">
        <v>121</v>
      </c>
      <c r="B99" s="252" t="s">
        <v>843</v>
      </c>
      <c r="C99" s="248" t="s">
        <v>844</v>
      </c>
      <c r="D99" s="339">
        <v>23.731999999999999</v>
      </c>
      <c r="E99" s="449"/>
      <c r="F99" s="254"/>
      <c r="G99" s="255"/>
      <c r="H99" s="449">
        <v>0</v>
      </c>
      <c r="I99" s="254">
        <f>H99/D99</f>
        <v>0</v>
      </c>
      <c r="J99" s="342">
        <v>0</v>
      </c>
      <c r="K99" s="254">
        <f>J99/D99</f>
        <v>0</v>
      </c>
      <c r="L99" s="247">
        <f t="shared" si="9"/>
        <v>0</v>
      </c>
      <c r="M99" s="245">
        <f t="shared" si="7"/>
        <v>0</v>
      </c>
      <c r="N99" s="342">
        <v>10</v>
      </c>
      <c r="O99" s="254">
        <f t="shared" si="8"/>
        <v>0.42137198719029162</v>
      </c>
      <c r="P99" s="433" t="s">
        <v>1488</v>
      </c>
      <c r="Q99" s="433">
        <v>2019</v>
      </c>
    </row>
    <row r="100" spans="1:17" ht="45.75" thickTop="1">
      <c r="A100" s="252">
        <v>122</v>
      </c>
      <c r="B100" s="252"/>
      <c r="C100" s="248" t="s">
        <v>846</v>
      </c>
      <c r="D100" s="339">
        <v>33.835000000000001</v>
      </c>
      <c r="E100" s="450"/>
      <c r="F100" s="257"/>
      <c r="G100" s="257"/>
      <c r="H100" s="339">
        <v>0</v>
      </c>
      <c r="I100" s="245">
        <v>0</v>
      </c>
      <c r="J100" s="247">
        <v>0</v>
      </c>
      <c r="K100" s="245">
        <f t="shared" ref="K100:K105" si="11">J100/D100</f>
        <v>0</v>
      </c>
      <c r="L100" s="247">
        <v>5</v>
      </c>
      <c r="M100" s="245">
        <f t="shared" si="7"/>
        <v>0.14777597162701345</v>
      </c>
      <c r="N100" s="339">
        <v>5</v>
      </c>
      <c r="O100" s="245">
        <f t="shared" si="8"/>
        <v>0.14777597162701345</v>
      </c>
      <c r="P100" s="433" t="s">
        <v>1488</v>
      </c>
      <c r="Q100" s="433">
        <v>2019</v>
      </c>
    </row>
    <row r="101" spans="1:17" ht="60">
      <c r="A101" s="252">
        <v>123</v>
      </c>
      <c r="B101" s="252" t="s">
        <v>848</v>
      </c>
      <c r="C101" s="248" t="s">
        <v>849</v>
      </c>
      <c r="D101" s="339">
        <v>43.17</v>
      </c>
      <c r="E101" s="450"/>
      <c r="F101" s="257"/>
      <c r="G101" s="257"/>
      <c r="H101" s="339">
        <v>0</v>
      </c>
      <c r="I101" s="245">
        <v>0</v>
      </c>
      <c r="J101" s="247">
        <v>0</v>
      </c>
      <c r="K101" s="245">
        <f t="shared" si="11"/>
        <v>0</v>
      </c>
      <c r="L101" s="247">
        <v>5</v>
      </c>
      <c r="M101" s="245">
        <f t="shared" si="7"/>
        <v>0.11582117211026176</v>
      </c>
      <c r="N101" s="339">
        <v>5</v>
      </c>
      <c r="O101" s="245">
        <f t="shared" si="8"/>
        <v>0.11582117211026176</v>
      </c>
      <c r="P101" s="433" t="s">
        <v>1488</v>
      </c>
      <c r="Q101" s="433">
        <v>2019</v>
      </c>
    </row>
    <row r="102" spans="1:17" ht="45">
      <c r="A102" s="252">
        <v>124</v>
      </c>
      <c r="B102" s="252" t="s">
        <v>851</v>
      </c>
      <c r="C102" s="248" t="s">
        <v>852</v>
      </c>
      <c r="D102" s="339">
        <v>28.15</v>
      </c>
      <c r="E102" s="450"/>
      <c r="F102" s="257"/>
      <c r="G102" s="257"/>
      <c r="H102" s="339">
        <v>0</v>
      </c>
      <c r="I102" s="245">
        <v>0</v>
      </c>
      <c r="J102" s="247">
        <v>0</v>
      </c>
      <c r="K102" s="245">
        <f t="shared" si="11"/>
        <v>0</v>
      </c>
      <c r="L102" s="247">
        <v>5</v>
      </c>
      <c r="M102" s="245">
        <f t="shared" si="7"/>
        <v>0.17761989342806395</v>
      </c>
      <c r="N102" s="339">
        <v>5</v>
      </c>
      <c r="O102" s="245">
        <f t="shared" si="8"/>
        <v>0.17761989342806395</v>
      </c>
      <c r="P102" s="433" t="s">
        <v>1488</v>
      </c>
      <c r="Q102" s="433">
        <v>2019</v>
      </c>
    </row>
    <row r="103" spans="1:17" ht="45">
      <c r="A103" s="252">
        <v>125</v>
      </c>
      <c r="B103" s="252" t="s">
        <v>854</v>
      </c>
      <c r="C103" s="248" t="s">
        <v>855</v>
      </c>
      <c r="D103" s="339">
        <v>31.44</v>
      </c>
      <c r="E103" s="450"/>
      <c r="F103" s="257"/>
      <c r="G103" s="257"/>
      <c r="H103" s="339">
        <v>0</v>
      </c>
      <c r="I103" s="245">
        <v>0</v>
      </c>
      <c r="J103" s="247">
        <v>0</v>
      </c>
      <c r="K103" s="245">
        <f t="shared" si="11"/>
        <v>0</v>
      </c>
      <c r="L103" s="247">
        <v>5</v>
      </c>
      <c r="M103" s="245">
        <f t="shared" si="7"/>
        <v>0.15903307888040713</v>
      </c>
      <c r="N103" s="339">
        <v>5</v>
      </c>
      <c r="O103" s="245">
        <f t="shared" si="8"/>
        <v>0.15903307888040713</v>
      </c>
      <c r="P103" s="433" t="s">
        <v>1488</v>
      </c>
      <c r="Q103" s="433">
        <v>2019</v>
      </c>
    </row>
    <row r="104" spans="1:17" ht="18.75" customHeight="1">
      <c r="A104" s="252">
        <v>126</v>
      </c>
      <c r="B104" s="252"/>
      <c r="C104" s="248" t="s">
        <v>2557</v>
      </c>
      <c r="D104" s="339">
        <v>12.3</v>
      </c>
      <c r="E104" s="450"/>
      <c r="F104" s="257"/>
      <c r="G104" s="257"/>
      <c r="H104" s="339">
        <v>0</v>
      </c>
      <c r="I104" s="245">
        <v>0</v>
      </c>
      <c r="J104" s="247">
        <v>0</v>
      </c>
      <c r="K104" s="245">
        <f t="shared" si="11"/>
        <v>0</v>
      </c>
      <c r="L104" s="247">
        <v>0</v>
      </c>
      <c r="M104" s="245">
        <f t="shared" si="7"/>
        <v>0</v>
      </c>
      <c r="N104" s="339">
        <v>0</v>
      </c>
      <c r="O104" s="245">
        <f t="shared" si="8"/>
        <v>0</v>
      </c>
      <c r="P104" s="433" t="s">
        <v>1488</v>
      </c>
      <c r="Q104" s="433">
        <v>2019</v>
      </c>
    </row>
    <row r="105" spans="1:17" ht="30">
      <c r="A105" s="252">
        <v>127</v>
      </c>
      <c r="B105" s="252" t="s">
        <v>857</v>
      </c>
      <c r="C105" s="248" t="s">
        <v>858</v>
      </c>
      <c r="D105" s="339">
        <v>29.5</v>
      </c>
      <c r="E105" s="450"/>
      <c r="F105" s="257"/>
      <c r="G105" s="257"/>
      <c r="H105" s="339">
        <v>0</v>
      </c>
      <c r="I105" s="245">
        <v>0</v>
      </c>
      <c r="J105" s="247">
        <v>0</v>
      </c>
      <c r="K105" s="245">
        <f t="shared" si="11"/>
        <v>0</v>
      </c>
      <c r="L105" s="247">
        <v>5</v>
      </c>
      <c r="M105" s="245">
        <f t="shared" si="7"/>
        <v>0.16949152542372881</v>
      </c>
      <c r="N105" s="339">
        <v>5</v>
      </c>
      <c r="O105" s="245">
        <f t="shared" ref="O105:O136" si="12">N105/D105</f>
        <v>0.16949152542372881</v>
      </c>
      <c r="P105" s="433" t="s">
        <v>1488</v>
      </c>
      <c r="Q105" s="433">
        <v>2019</v>
      </c>
    </row>
    <row r="106" spans="1:17" ht="30">
      <c r="A106" s="258">
        <v>88</v>
      </c>
      <c r="B106" s="259">
        <v>805684</v>
      </c>
      <c r="C106" s="453" t="s">
        <v>24</v>
      </c>
      <c r="D106" s="447">
        <v>4</v>
      </c>
      <c r="E106" s="451"/>
      <c r="F106" s="260"/>
      <c r="G106" s="261"/>
      <c r="H106" s="451">
        <v>4</v>
      </c>
      <c r="I106" s="260">
        <f>H106/D106</f>
        <v>1</v>
      </c>
      <c r="J106" s="262">
        <v>4</v>
      </c>
      <c r="K106" s="245">
        <f>J106/D106</f>
        <v>1</v>
      </c>
      <c r="L106" s="262">
        <f>J106</f>
        <v>4</v>
      </c>
      <c r="M106" s="245">
        <f t="shared" si="7"/>
        <v>1</v>
      </c>
      <c r="N106" s="262">
        <v>4</v>
      </c>
      <c r="O106" s="245">
        <f t="shared" si="12"/>
        <v>1</v>
      </c>
      <c r="P106" s="433" t="s">
        <v>1488</v>
      </c>
      <c r="Q106" s="433">
        <v>2019</v>
      </c>
    </row>
    <row r="107" spans="1:17" ht="30">
      <c r="A107" s="433">
        <v>89</v>
      </c>
      <c r="B107" s="435">
        <v>805684</v>
      </c>
      <c r="C107" s="244" t="s">
        <v>25</v>
      </c>
      <c r="D107" s="339">
        <v>45.91</v>
      </c>
      <c r="E107" s="445"/>
      <c r="F107" s="249"/>
      <c r="G107" s="250"/>
      <c r="H107" s="340">
        <v>45.91</v>
      </c>
      <c r="I107" s="260">
        <f t="shared" ref="I107:I134" si="13">H107/D107</f>
        <v>1</v>
      </c>
      <c r="J107" s="247">
        <v>45.91</v>
      </c>
      <c r="K107" s="245">
        <f>J107/D107</f>
        <v>1</v>
      </c>
      <c r="L107" s="262">
        <f>J107</f>
        <v>45.91</v>
      </c>
      <c r="M107" s="245">
        <f t="shared" si="7"/>
        <v>1</v>
      </c>
      <c r="N107" s="247">
        <v>45.91</v>
      </c>
      <c r="O107" s="245">
        <f t="shared" si="12"/>
        <v>1</v>
      </c>
      <c r="P107" s="433" t="s">
        <v>1488</v>
      </c>
      <c r="Q107" s="433">
        <v>2019</v>
      </c>
    </row>
    <row r="108" spans="1:17" ht="45">
      <c r="A108" s="433">
        <v>90</v>
      </c>
      <c r="B108" s="435">
        <v>805630</v>
      </c>
      <c r="C108" s="244" t="s">
        <v>1489</v>
      </c>
      <c r="D108" s="339">
        <v>46.84</v>
      </c>
      <c r="E108" s="340"/>
      <c r="F108" s="245"/>
      <c r="G108" s="246"/>
      <c r="H108" s="340">
        <v>12.740000000000002</v>
      </c>
      <c r="I108" s="260">
        <f t="shared" si="13"/>
        <v>0.27198975234842016</v>
      </c>
      <c r="J108" s="340">
        <v>12.740000000000002</v>
      </c>
      <c r="K108" s="245">
        <f t="shared" ref="K108:K136" si="14">J108/D108</f>
        <v>0.27198975234842016</v>
      </c>
      <c r="L108" s="247">
        <f>J108+17</f>
        <v>29.740000000000002</v>
      </c>
      <c r="M108" s="245">
        <f t="shared" si="7"/>
        <v>0.63492741246797613</v>
      </c>
      <c r="N108" s="339">
        <v>46.84</v>
      </c>
      <c r="O108" s="245">
        <f t="shared" si="12"/>
        <v>1</v>
      </c>
      <c r="P108" s="433" t="s">
        <v>1488</v>
      </c>
      <c r="Q108" s="433">
        <v>2019</v>
      </c>
    </row>
    <row r="109" spans="1:17" ht="45">
      <c r="A109" s="433">
        <v>91</v>
      </c>
      <c r="B109" s="435">
        <v>805630</v>
      </c>
      <c r="C109" s="244" t="s">
        <v>34</v>
      </c>
      <c r="D109" s="339">
        <v>12.93</v>
      </c>
      <c r="E109" s="340"/>
      <c r="F109" s="245"/>
      <c r="G109" s="246"/>
      <c r="H109" s="340">
        <v>7.53</v>
      </c>
      <c r="I109" s="260">
        <f t="shared" si="13"/>
        <v>0.58236658932714624</v>
      </c>
      <c r="J109" s="340">
        <v>7.53</v>
      </c>
      <c r="K109" s="245">
        <f t="shared" si="14"/>
        <v>0.58236658932714624</v>
      </c>
      <c r="L109" s="262">
        <f>J109</f>
        <v>7.53</v>
      </c>
      <c r="M109" s="245">
        <f t="shared" si="7"/>
        <v>0.58236658932714624</v>
      </c>
      <c r="N109" s="339">
        <f>5.4+7.53</f>
        <v>12.93</v>
      </c>
      <c r="O109" s="245">
        <f t="shared" si="12"/>
        <v>1</v>
      </c>
      <c r="P109" s="433" t="s">
        <v>1488</v>
      </c>
      <c r="Q109" s="433">
        <v>2019</v>
      </c>
    </row>
    <row r="110" spans="1:17" ht="45">
      <c r="A110" s="433">
        <v>92</v>
      </c>
      <c r="B110" s="435">
        <v>805630</v>
      </c>
      <c r="C110" s="244" t="s">
        <v>1490</v>
      </c>
      <c r="D110" s="339">
        <v>36.07</v>
      </c>
      <c r="E110" s="340"/>
      <c r="F110" s="245"/>
      <c r="G110" s="246"/>
      <c r="H110" s="340">
        <v>1.94</v>
      </c>
      <c r="I110" s="260">
        <f t="shared" si="13"/>
        <v>5.3784308289437206E-2</v>
      </c>
      <c r="J110" s="247">
        <v>26.9</v>
      </c>
      <c r="K110" s="245">
        <f t="shared" si="14"/>
        <v>0.74577210978652619</v>
      </c>
      <c r="L110" s="247">
        <v>35.454999999999998</v>
      </c>
      <c r="M110" s="245">
        <f t="shared" si="7"/>
        <v>0.9829498197948433</v>
      </c>
      <c r="N110" s="339">
        <v>35.454999999999998</v>
      </c>
      <c r="O110" s="245">
        <f t="shared" si="12"/>
        <v>0.9829498197948433</v>
      </c>
      <c r="P110" s="433" t="s">
        <v>1488</v>
      </c>
      <c r="Q110" s="433">
        <v>2019</v>
      </c>
    </row>
    <row r="111" spans="1:17" ht="45">
      <c r="A111" s="433">
        <v>93</v>
      </c>
      <c r="B111" s="435">
        <v>805630</v>
      </c>
      <c r="C111" s="244" t="s">
        <v>42</v>
      </c>
      <c r="D111" s="339">
        <v>7.1130000000000004</v>
      </c>
      <c r="E111" s="340"/>
      <c r="F111" s="245"/>
      <c r="G111" s="246"/>
      <c r="H111" s="340">
        <v>7.1130000000000004</v>
      </c>
      <c r="I111" s="260">
        <f t="shared" si="13"/>
        <v>1</v>
      </c>
      <c r="J111" s="247">
        <v>7.1130000000000004</v>
      </c>
      <c r="K111" s="245">
        <f t="shared" si="14"/>
        <v>1</v>
      </c>
      <c r="L111" s="262">
        <f t="shared" ref="L111:L120" si="15">J111</f>
        <v>7.1130000000000004</v>
      </c>
      <c r="M111" s="245">
        <f t="shared" si="7"/>
        <v>1</v>
      </c>
      <c r="N111" s="247">
        <v>7.1130000000000004</v>
      </c>
      <c r="O111" s="245">
        <f t="shared" si="12"/>
        <v>1</v>
      </c>
      <c r="P111" s="433" t="s">
        <v>1488</v>
      </c>
      <c r="Q111" s="433">
        <v>2019</v>
      </c>
    </row>
    <row r="112" spans="1:17" ht="30">
      <c r="A112" s="433">
        <v>94</v>
      </c>
      <c r="B112" s="435">
        <v>805616</v>
      </c>
      <c r="C112" s="248" t="s">
        <v>43</v>
      </c>
      <c r="D112" s="339">
        <v>7.11</v>
      </c>
      <c r="E112" s="340"/>
      <c r="F112" s="245"/>
      <c r="G112" s="246"/>
      <c r="H112" s="340">
        <v>2.66</v>
      </c>
      <c r="I112" s="260">
        <f t="shared" si="13"/>
        <v>0.37412095639943743</v>
      </c>
      <c r="J112" s="247">
        <v>4.8600000000000003</v>
      </c>
      <c r="K112" s="245">
        <f t="shared" si="14"/>
        <v>0.68354430379746833</v>
      </c>
      <c r="L112" s="262">
        <f t="shared" si="15"/>
        <v>4.8600000000000003</v>
      </c>
      <c r="M112" s="245">
        <f t="shared" si="7"/>
        <v>0.68354430379746833</v>
      </c>
      <c r="N112" s="247">
        <v>4.8600000000000003</v>
      </c>
      <c r="O112" s="245">
        <f t="shared" si="12"/>
        <v>0.68354430379746833</v>
      </c>
      <c r="P112" s="433" t="s">
        <v>1488</v>
      </c>
      <c r="Q112" s="433">
        <v>2019</v>
      </c>
    </row>
    <row r="113" spans="1:17" ht="30">
      <c r="A113" s="433">
        <v>95</v>
      </c>
      <c r="B113" s="435">
        <v>805453</v>
      </c>
      <c r="C113" s="248" t="s">
        <v>46</v>
      </c>
      <c r="D113" s="339">
        <v>6.33</v>
      </c>
      <c r="E113" s="340"/>
      <c r="F113" s="245"/>
      <c r="G113" s="246"/>
      <c r="H113" s="340">
        <v>6.33</v>
      </c>
      <c r="I113" s="260">
        <f t="shared" si="13"/>
        <v>1</v>
      </c>
      <c r="J113" s="247">
        <v>6.33</v>
      </c>
      <c r="K113" s="245">
        <f t="shared" si="14"/>
        <v>1</v>
      </c>
      <c r="L113" s="262">
        <f t="shared" si="15"/>
        <v>6.33</v>
      </c>
      <c r="M113" s="245">
        <f t="shared" si="7"/>
        <v>1</v>
      </c>
      <c r="N113" s="247">
        <v>6.33</v>
      </c>
      <c r="O113" s="245">
        <f t="shared" si="12"/>
        <v>1</v>
      </c>
      <c r="P113" s="433" t="s">
        <v>1488</v>
      </c>
      <c r="Q113" s="433">
        <v>2019</v>
      </c>
    </row>
    <row r="114" spans="1:17" ht="45">
      <c r="A114" s="433">
        <v>96</v>
      </c>
      <c r="B114" s="435">
        <v>805454</v>
      </c>
      <c r="C114" s="248" t="s">
        <v>50</v>
      </c>
      <c r="D114" s="339">
        <v>1.23</v>
      </c>
      <c r="E114" s="340"/>
      <c r="F114" s="245"/>
      <c r="G114" s="246"/>
      <c r="H114" s="340">
        <v>1.23</v>
      </c>
      <c r="I114" s="260">
        <f t="shared" si="13"/>
        <v>1</v>
      </c>
      <c r="J114" s="247">
        <v>1.23</v>
      </c>
      <c r="K114" s="245">
        <f t="shared" si="14"/>
        <v>1</v>
      </c>
      <c r="L114" s="262">
        <f t="shared" si="15"/>
        <v>1.23</v>
      </c>
      <c r="M114" s="245">
        <f t="shared" si="7"/>
        <v>1</v>
      </c>
      <c r="N114" s="247">
        <v>1.23</v>
      </c>
      <c r="O114" s="245">
        <f t="shared" si="12"/>
        <v>1</v>
      </c>
      <c r="P114" s="433" t="s">
        <v>1488</v>
      </c>
      <c r="Q114" s="433">
        <v>2019</v>
      </c>
    </row>
    <row r="115" spans="1:17" ht="60">
      <c r="A115" s="433">
        <v>97</v>
      </c>
      <c r="B115" s="435">
        <v>805565</v>
      </c>
      <c r="C115" s="248" t="s">
        <v>51</v>
      </c>
      <c r="D115" s="339">
        <v>1.87</v>
      </c>
      <c r="E115" s="340"/>
      <c r="F115" s="245"/>
      <c r="G115" s="246"/>
      <c r="H115" s="340">
        <v>0</v>
      </c>
      <c r="I115" s="260">
        <f t="shared" si="13"/>
        <v>0</v>
      </c>
      <c r="J115" s="247">
        <v>0</v>
      </c>
      <c r="K115" s="245">
        <f t="shared" si="14"/>
        <v>0</v>
      </c>
      <c r="L115" s="262">
        <f t="shared" si="15"/>
        <v>0</v>
      </c>
      <c r="M115" s="245">
        <f t="shared" si="7"/>
        <v>0</v>
      </c>
      <c r="N115" s="247">
        <v>1.87</v>
      </c>
      <c r="O115" s="245">
        <f t="shared" si="12"/>
        <v>1</v>
      </c>
      <c r="P115" s="433" t="s">
        <v>1488</v>
      </c>
      <c r="Q115" s="433">
        <v>2019</v>
      </c>
    </row>
    <row r="116" spans="1:17" ht="45">
      <c r="A116" s="433">
        <v>98</v>
      </c>
      <c r="B116" s="435">
        <v>805672</v>
      </c>
      <c r="C116" s="248" t="s">
        <v>52</v>
      </c>
      <c r="D116" s="339">
        <v>7.89</v>
      </c>
      <c r="E116" s="340"/>
      <c r="F116" s="245"/>
      <c r="G116" s="246"/>
      <c r="H116" s="340">
        <v>0</v>
      </c>
      <c r="I116" s="260">
        <f t="shared" si="13"/>
        <v>0</v>
      </c>
      <c r="J116" s="247">
        <v>7.89</v>
      </c>
      <c r="K116" s="245">
        <f t="shared" si="14"/>
        <v>1</v>
      </c>
      <c r="L116" s="262">
        <f t="shared" si="15"/>
        <v>7.89</v>
      </c>
      <c r="M116" s="245">
        <f t="shared" si="7"/>
        <v>1</v>
      </c>
      <c r="N116" s="247">
        <v>7.89</v>
      </c>
      <c r="O116" s="245">
        <f t="shared" si="12"/>
        <v>1</v>
      </c>
      <c r="P116" s="433" t="s">
        <v>1488</v>
      </c>
      <c r="Q116" s="433">
        <v>2019</v>
      </c>
    </row>
    <row r="117" spans="1:17" ht="30">
      <c r="A117" s="433">
        <v>99</v>
      </c>
      <c r="B117" s="252" t="s">
        <v>1491</v>
      </c>
      <c r="C117" s="248" t="s">
        <v>55</v>
      </c>
      <c r="D117" s="339">
        <v>12.57</v>
      </c>
      <c r="E117" s="340"/>
      <c r="F117" s="245"/>
      <c r="G117" s="246"/>
      <c r="H117" s="340">
        <v>12.565</v>
      </c>
      <c r="I117" s="260">
        <f t="shared" si="13"/>
        <v>0.99960222752585515</v>
      </c>
      <c r="J117" s="247">
        <v>12.565</v>
      </c>
      <c r="K117" s="245">
        <f t="shared" si="14"/>
        <v>0.99960222752585515</v>
      </c>
      <c r="L117" s="262">
        <f t="shared" si="15"/>
        <v>12.565</v>
      </c>
      <c r="M117" s="245">
        <f t="shared" si="7"/>
        <v>0.99960222752585515</v>
      </c>
      <c r="N117" s="247">
        <v>12.565</v>
      </c>
      <c r="O117" s="245">
        <f t="shared" si="12"/>
        <v>0.99960222752585515</v>
      </c>
      <c r="P117" s="433" t="s">
        <v>1488</v>
      </c>
      <c r="Q117" s="433">
        <v>2019</v>
      </c>
    </row>
    <row r="118" spans="1:17" ht="30">
      <c r="A118" s="433">
        <v>100</v>
      </c>
      <c r="B118" s="252" t="s">
        <v>1492</v>
      </c>
      <c r="C118" s="248" t="s">
        <v>56</v>
      </c>
      <c r="D118" s="339">
        <v>12.42</v>
      </c>
      <c r="E118" s="340"/>
      <c r="F118" s="245"/>
      <c r="G118" s="246"/>
      <c r="H118" s="340">
        <v>0</v>
      </c>
      <c r="I118" s="260">
        <f t="shared" si="13"/>
        <v>0</v>
      </c>
      <c r="J118" s="247">
        <v>0</v>
      </c>
      <c r="K118" s="245">
        <f t="shared" si="14"/>
        <v>0</v>
      </c>
      <c r="L118" s="262">
        <f t="shared" si="15"/>
        <v>0</v>
      </c>
      <c r="M118" s="245">
        <f t="shared" si="7"/>
        <v>0</v>
      </c>
      <c r="N118" s="247">
        <v>12.4</v>
      </c>
      <c r="O118" s="245">
        <f t="shared" si="12"/>
        <v>0.99838969404186795</v>
      </c>
      <c r="P118" s="433" t="s">
        <v>1488</v>
      </c>
      <c r="Q118" s="433">
        <v>2019</v>
      </c>
    </row>
    <row r="119" spans="1:17" ht="30">
      <c r="A119" s="433">
        <v>101</v>
      </c>
      <c r="B119" s="252" t="s">
        <v>1493</v>
      </c>
      <c r="C119" s="248" t="s">
        <v>57</v>
      </c>
      <c r="D119" s="339">
        <v>1.42</v>
      </c>
      <c r="E119" s="340"/>
      <c r="F119" s="245"/>
      <c r="G119" s="246"/>
      <c r="H119" s="340">
        <v>1.42</v>
      </c>
      <c r="I119" s="260">
        <f t="shared" si="13"/>
        <v>1</v>
      </c>
      <c r="J119" s="247">
        <v>1.42</v>
      </c>
      <c r="K119" s="245">
        <f t="shared" si="14"/>
        <v>1</v>
      </c>
      <c r="L119" s="262">
        <f t="shared" si="15"/>
        <v>1.42</v>
      </c>
      <c r="M119" s="245">
        <f t="shared" si="7"/>
        <v>1</v>
      </c>
      <c r="N119" s="247">
        <v>1.42</v>
      </c>
      <c r="O119" s="245">
        <f t="shared" si="12"/>
        <v>1</v>
      </c>
      <c r="P119" s="433" t="s">
        <v>1488</v>
      </c>
      <c r="Q119" s="433">
        <v>2019</v>
      </c>
    </row>
    <row r="120" spans="1:17" ht="30">
      <c r="A120" s="433">
        <v>102</v>
      </c>
      <c r="B120" s="435">
        <v>805566</v>
      </c>
      <c r="C120" s="248" t="s">
        <v>58</v>
      </c>
      <c r="D120" s="339">
        <v>1.96</v>
      </c>
      <c r="E120" s="340"/>
      <c r="F120" s="245"/>
      <c r="G120" s="246"/>
      <c r="H120" s="340">
        <v>0</v>
      </c>
      <c r="I120" s="260">
        <f t="shared" si="13"/>
        <v>0</v>
      </c>
      <c r="J120" s="247">
        <v>0</v>
      </c>
      <c r="K120" s="245">
        <f t="shared" si="14"/>
        <v>0</v>
      </c>
      <c r="L120" s="262">
        <f t="shared" si="15"/>
        <v>0</v>
      </c>
      <c r="M120" s="245">
        <f t="shared" si="7"/>
        <v>0</v>
      </c>
      <c r="N120" s="247">
        <v>0</v>
      </c>
      <c r="O120" s="245">
        <f t="shared" si="12"/>
        <v>0</v>
      </c>
      <c r="P120" s="433" t="s">
        <v>1488</v>
      </c>
      <c r="Q120" s="433">
        <v>2019</v>
      </c>
    </row>
    <row r="121" spans="1:17" ht="30">
      <c r="A121" s="433">
        <v>103</v>
      </c>
      <c r="B121" s="435">
        <v>805800</v>
      </c>
      <c r="C121" s="248" t="s">
        <v>59</v>
      </c>
      <c r="D121" s="339">
        <v>12.5</v>
      </c>
      <c r="E121" s="340"/>
      <c r="F121" s="245"/>
      <c r="G121" s="246"/>
      <c r="H121" s="340">
        <v>0</v>
      </c>
      <c r="I121" s="260">
        <f>H121/D121</f>
        <v>0</v>
      </c>
      <c r="J121" s="247">
        <v>0</v>
      </c>
      <c r="K121" s="245">
        <f t="shared" si="14"/>
        <v>0</v>
      </c>
      <c r="L121" s="247">
        <v>6.5</v>
      </c>
      <c r="M121" s="245">
        <f t="shared" si="7"/>
        <v>0.52</v>
      </c>
      <c r="N121" s="247">
        <v>6.5</v>
      </c>
      <c r="O121" s="245">
        <f t="shared" si="12"/>
        <v>0.52</v>
      </c>
      <c r="P121" s="433" t="s">
        <v>1488</v>
      </c>
      <c r="Q121" s="433">
        <v>2019</v>
      </c>
    </row>
    <row r="122" spans="1:17">
      <c r="A122" s="433">
        <v>104</v>
      </c>
      <c r="B122" s="435">
        <v>805510</v>
      </c>
      <c r="C122" s="248" t="s">
        <v>62</v>
      </c>
      <c r="D122" s="339">
        <v>5.98</v>
      </c>
      <c r="E122" s="340"/>
      <c r="F122" s="245"/>
      <c r="G122" s="246"/>
      <c r="H122" s="340">
        <v>0</v>
      </c>
      <c r="I122" s="260">
        <f>H122/D122</f>
        <v>0</v>
      </c>
      <c r="J122" s="247">
        <v>0</v>
      </c>
      <c r="K122" s="245">
        <f t="shared" si="14"/>
        <v>0</v>
      </c>
      <c r="L122" s="262">
        <v>5.98</v>
      </c>
      <c r="M122" s="245">
        <f t="shared" si="7"/>
        <v>1</v>
      </c>
      <c r="N122" s="247">
        <v>5.98</v>
      </c>
      <c r="O122" s="245">
        <f t="shared" si="12"/>
        <v>1</v>
      </c>
      <c r="P122" s="433" t="s">
        <v>1488</v>
      </c>
      <c r="Q122" s="433">
        <v>2019</v>
      </c>
    </row>
    <row r="123" spans="1:17" ht="60">
      <c r="A123" s="433">
        <v>105</v>
      </c>
      <c r="B123" s="435">
        <v>805462</v>
      </c>
      <c r="C123" s="248" t="s">
        <v>63</v>
      </c>
      <c r="D123" s="339">
        <v>14.14</v>
      </c>
      <c r="E123" s="340"/>
      <c r="F123" s="245"/>
      <c r="G123" s="246"/>
      <c r="H123" s="340">
        <v>9.8000000000000007</v>
      </c>
      <c r="I123" s="260">
        <f>H123/D123</f>
        <v>0.69306930693069313</v>
      </c>
      <c r="J123" s="247">
        <v>12.2</v>
      </c>
      <c r="K123" s="245">
        <f t="shared" si="14"/>
        <v>0.86280056577086273</v>
      </c>
      <c r="L123" s="262">
        <f>J123</f>
        <v>12.2</v>
      </c>
      <c r="M123" s="245">
        <f t="shared" si="7"/>
        <v>0.86280056577086273</v>
      </c>
      <c r="N123" s="247">
        <v>12.2</v>
      </c>
      <c r="O123" s="245">
        <f t="shared" si="12"/>
        <v>0.86280056577086273</v>
      </c>
      <c r="P123" s="433" t="s">
        <v>1488</v>
      </c>
      <c r="Q123" s="433">
        <v>2019</v>
      </c>
    </row>
    <row r="124" spans="1:17" ht="30">
      <c r="A124" s="433">
        <v>106</v>
      </c>
      <c r="B124" s="435">
        <v>805807</v>
      </c>
      <c r="C124" s="244" t="s">
        <v>69</v>
      </c>
      <c r="D124" s="445">
        <v>46.2</v>
      </c>
      <c r="E124" s="445">
        <v>14.3</v>
      </c>
      <c r="F124" s="249">
        <f>E124/D124</f>
        <v>0.30952380952380953</v>
      </c>
      <c r="G124" s="250">
        <v>43361</v>
      </c>
      <c r="H124" s="339">
        <v>31.9</v>
      </c>
      <c r="I124" s="260">
        <f>H124/D124</f>
        <v>0.69047619047619035</v>
      </c>
      <c r="J124" s="251">
        <v>46.2</v>
      </c>
      <c r="K124" s="245">
        <f t="shared" si="14"/>
        <v>1</v>
      </c>
      <c r="L124" s="262">
        <f>J124</f>
        <v>46.2</v>
      </c>
      <c r="M124" s="245">
        <f t="shared" si="7"/>
        <v>1</v>
      </c>
      <c r="N124" s="251">
        <v>46.2</v>
      </c>
      <c r="O124" s="245">
        <f t="shared" si="12"/>
        <v>1</v>
      </c>
      <c r="P124" s="433" t="s">
        <v>1488</v>
      </c>
      <c r="Q124" s="433">
        <v>2019</v>
      </c>
    </row>
    <row r="125" spans="1:17" ht="30">
      <c r="A125" s="433">
        <v>107</v>
      </c>
      <c r="B125" s="435">
        <v>805807</v>
      </c>
      <c r="C125" s="244" t="s">
        <v>76</v>
      </c>
      <c r="D125" s="339">
        <v>57.3</v>
      </c>
      <c r="E125" s="340">
        <v>28.367000000000001</v>
      </c>
      <c r="F125" s="249">
        <f t="shared" ref="F125:F127" si="16">E125/D125</f>
        <v>0.49506108202443283</v>
      </c>
      <c r="G125" s="250">
        <v>43361</v>
      </c>
      <c r="H125" s="446">
        <v>28.933</v>
      </c>
      <c r="I125" s="260">
        <f t="shared" ref="I125" si="17">H125/D125</f>
        <v>0.50493891797556723</v>
      </c>
      <c r="J125" s="251">
        <v>57.3</v>
      </c>
      <c r="K125" s="245">
        <f t="shared" si="14"/>
        <v>1</v>
      </c>
      <c r="L125" s="247">
        <v>57.3</v>
      </c>
      <c r="M125" s="245">
        <f t="shared" si="7"/>
        <v>1</v>
      </c>
      <c r="N125" s="251">
        <v>57.3</v>
      </c>
      <c r="O125" s="245">
        <f t="shared" si="12"/>
        <v>1</v>
      </c>
      <c r="P125" s="433" t="s">
        <v>1488</v>
      </c>
      <c r="Q125" s="433">
        <v>2019</v>
      </c>
    </row>
    <row r="126" spans="1:17">
      <c r="A126" s="433">
        <v>108</v>
      </c>
      <c r="B126" s="435">
        <v>805463</v>
      </c>
      <c r="C126" s="248" t="s">
        <v>82</v>
      </c>
      <c r="D126" s="339">
        <v>3.13</v>
      </c>
      <c r="E126" s="340"/>
      <c r="F126" s="249"/>
      <c r="G126" s="250"/>
      <c r="H126" s="446">
        <v>3.13</v>
      </c>
      <c r="I126" s="260">
        <f>H126/D126</f>
        <v>1</v>
      </c>
      <c r="J126" s="251">
        <v>3.13</v>
      </c>
      <c r="K126" s="245">
        <f t="shared" si="14"/>
        <v>1</v>
      </c>
      <c r="L126" s="262">
        <f t="shared" ref="L126:L189" si="18">J126</f>
        <v>3.13</v>
      </c>
      <c r="M126" s="245">
        <f t="shared" si="7"/>
        <v>1</v>
      </c>
      <c r="N126" s="251">
        <v>3.13</v>
      </c>
      <c r="O126" s="245">
        <f t="shared" si="12"/>
        <v>1</v>
      </c>
      <c r="P126" s="433" t="s">
        <v>1488</v>
      </c>
      <c r="Q126" s="433">
        <v>2019</v>
      </c>
    </row>
    <row r="127" spans="1:17" ht="30">
      <c r="A127" s="433">
        <v>109</v>
      </c>
      <c r="B127" s="435">
        <v>805807</v>
      </c>
      <c r="C127" s="244" t="s">
        <v>84</v>
      </c>
      <c r="D127" s="339">
        <v>60.73</v>
      </c>
      <c r="E127" s="340">
        <v>17.63</v>
      </c>
      <c r="F127" s="249">
        <f t="shared" si="16"/>
        <v>0.29030133377243539</v>
      </c>
      <c r="G127" s="250">
        <v>43361</v>
      </c>
      <c r="H127" s="339">
        <v>43.1</v>
      </c>
      <c r="I127" s="260">
        <f t="shared" si="13"/>
        <v>0.70969866622756472</v>
      </c>
      <c r="J127" s="339">
        <v>60.73</v>
      </c>
      <c r="K127" s="245">
        <f t="shared" si="14"/>
        <v>1</v>
      </c>
      <c r="L127" s="262">
        <f t="shared" si="18"/>
        <v>60.73</v>
      </c>
      <c r="M127" s="245">
        <f t="shared" si="7"/>
        <v>1</v>
      </c>
      <c r="N127" s="247">
        <v>60.73</v>
      </c>
      <c r="O127" s="245">
        <f t="shared" si="12"/>
        <v>1</v>
      </c>
      <c r="P127" s="433" t="s">
        <v>1488</v>
      </c>
      <c r="Q127" s="433">
        <v>2019</v>
      </c>
    </row>
    <row r="128" spans="1:17" ht="30">
      <c r="A128" s="433">
        <v>110</v>
      </c>
      <c r="B128" s="252" t="s">
        <v>1494</v>
      </c>
      <c r="C128" s="248" t="s">
        <v>94</v>
      </c>
      <c r="D128" s="339">
        <v>0.99</v>
      </c>
      <c r="E128" s="340"/>
      <c r="F128" s="245"/>
      <c r="G128" s="246"/>
      <c r="H128" s="340">
        <v>0</v>
      </c>
      <c r="I128" s="260">
        <f t="shared" si="13"/>
        <v>0</v>
      </c>
      <c r="J128" s="247">
        <v>0</v>
      </c>
      <c r="K128" s="245">
        <f t="shared" si="14"/>
        <v>0</v>
      </c>
      <c r="L128" s="262">
        <f t="shared" si="18"/>
        <v>0</v>
      </c>
      <c r="M128" s="245">
        <f t="shared" si="7"/>
        <v>0</v>
      </c>
      <c r="N128" s="247">
        <v>0.99</v>
      </c>
      <c r="O128" s="245">
        <f t="shared" si="12"/>
        <v>1</v>
      </c>
      <c r="P128" s="433" t="s">
        <v>1488</v>
      </c>
      <c r="Q128" s="433">
        <v>2019</v>
      </c>
    </row>
    <row r="129" spans="1:18">
      <c r="A129" s="433">
        <v>111</v>
      </c>
      <c r="B129" s="252" t="s">
        <v>1495</v>
      </c>
      <c r="C129" s="248" t="s">
        <v>96</v>
      </c>
      <c r="D129" s="339">
        <v>11.8</v>
      </c>
      <c r="E129" s="340"/>
      <c r="F129" s="245"/>
      <c r="G129" s="246"/>
      <c r="H129" s="340">
        <v>0</v>
      </c>
      <c r="I129" s="260">
        <f t="shared" si="13"/>
        <v>0</v>
      </c>
      <c r="J129" s="247">
        <v>0</v>
      </c>
      <c r="K129" s="245">
        <f t="shared" si="14"/>
        <v>0</v>
      </c>
      <c r="L129" s="262">
        <f t="shared" si="18"/>
        <v>0</v>
      </c>
      <c r="M129" s="245">
        <f t="shared" si="7"/>
        <v>0</v>
      </c>
      <c r="N129" s="247">
        <v>6.13</v>
      </c>
      <c r="O129" s="245">
        <f t="shared" si="12"/>
        <v>0.51949152542372878</v>
      </c>
      <c r="P129" s="433" t="s">
        <v>1488</v>
      </c>
      <c r="Q129" s="433">
        <v>2019</v>
      </c>
    </row>
    <row r="130" spans="1:18" ht="30">
      <c r="A130" s="433">
        <v>112</v>
      </c>
      <c r="B130" s="252" t="s">
        <v>1496</v>
      </c>
      <c r="C130" s="248" t="s">
        <v>97</v>
      </c>
      <c r="D130" s="339">
        <v>2.57</v>
      </c>
      <c r="E130" s="340"/>
      <c r="F130" s="245"/>
      <c r="G130" s="246"/>
      <c r="H130" s="339">
        <v>0</v>
      </c>
      <c r="I130" s="260">
        <f t="shared" si="13"/>
        <v>0</v>
      </c>
      <c r="J130" s="339">
        <v>0</v>
      </c>
      <c r="K130" s="245">
        <f t="shared" si="14"/>
        <v>0</v>
      </c>
      <c r="L130" s="262">
        <f t="shared" si="18"/>
        <v>0</v>
      </c>
      <c r="M130" s="245">
        <f t="shared" si="7"/>
        <v>0</v>
      </c>
      <c r="N130" s="339">
        <v>2.57</v>
      </c>
      <c r="O130" s="245">
        <f t="shared" si="12"/>
        <v>1</v>
      </c>
      <c r="P130" s="433" t="s">
        <v>1488</v>
      </c>
      <c r="Q130" s="433">
        <v>2019</v>
      </c>
    </row>
    <row r="131" spans="1:18" ht="60">
      <c r="A131" s="433">
        <v>113</v>
      </c>
      <c r="B131" s="252" t="s">
        <v>1497</v>
      </c>
      <c r="C131" s="248" t="s">
        <v>99</v>
      </c>
      <c r="D131" s="339">
        <v>12.24</v>
      </c>
      <c r="E131" s="340"/>
      <c r="F131" s="245"/>
      <c r="G131" s="246"/>
      <c r="H131" s="340">
        <v>0</v>
      </c>
      <c r="I131" s="260">
        <f t="shared" si="13"/>
        <v>0</v>
      </c>
      <c r="J131" s="247">
        <v>0</v>
      </c>
      <c r="K131" s="245">
        <f t="shared" si="14"/>
        <v>0</v>
      </c>
      <c r="L131" s="262">
        <f t="shared" si="18"/>
        <v>0</v>
      </c>
      <c r="M131" s="245">
        <f t="shared" si="7"/>
        <v>0</v>
      </c>
      <c r="N131" s="247">
        <v>12.24</v>
      </c>
      <c r="O131" s="245">
        <f t="shared" si="12"/>
        <v>1</v>
      </c>
      <c r="P131" s="433" t="s">
        <v>1488</v>
      </c>
      <c r="Q131" s="433">
        <v>2019</v>
      </c>
      <c r="R131" s="266"/>
    </row>
    <row r="132" spans="1:18" ht="45">
      <c r="A132" s="433">
        <v>114</v>
      </c>
      <c r="B132" s="252" t="s">
        <v>1498</v>
      </c>
      <c r="C132" s="248" t="s">
        <v>1499</v>
      </c>
      <c r="D132" s="339">
        <v>8.41</v>
      </c>
      <c r="E132" s="340"/>
      <c r="F132" s="245"/>
      <c r="G132" s="246"/>
      <c r="H132" s="340">
        <v>0</v>
      </c>
      <c r="I132" s="260">
        <f t="shared" si="13"/>
        <v>0</v>
      </c>
      <c r="J132" s="247">
        <v>0</v>
      </c>
      <c r="K132" s="245">
        <f t="shared" si="14"/>
        <v>0</v>
      </c>
      <c r="L132" s="262">
        <f t="shared" si="18"/>
        <v>0</v>
      </c>
      <c r="M132" s="245">
        <f t="shared" si="7"/>
        <v>0</v>
      </c>
      <c r="N132" s="247">
        <v>5.1100000000000003</v>
      </c>
      <c r="O132" s="245">
        <f t="shared" si="12"/>
        <v>0.6076099881093936</v>
      </c>
      <c r="P132" s="433" t="s">
        <v>1488</v>
      </c>
      <c r="Q132" s="433">
        <v>2019</v>
      </c>
      <c r="R132" s="266"/>
    </row>
    <row r="133" spans="1:18" ht="30">
      <c r="A133" s="433">
        <v>115</v>
      </c>
      <c r="B133" s="252" t="s">
        <v>1500</v>
      </c>
      <c r="C133" s="248" t="s">
        <v>102</v>
      </c>
      <c r="D133" s="339">
        <v>6.13</v>
      </c>
      <c r="E133" s="340"/>
      <c r="F133" s="245"/>
      <c r="G133" s="246"/>
      <c r="H133" s="339">
        <v>0</v>
      </c>
      <c r="I133" s="260">
        <f t="shared" si="13"/>
        <v>0</v>
      </c>
      <c r="J133" s="247">
        <v>0</v>
      </c>
      <c r="K133" s="245">
        <f t="shared" si="14"/>
        <v>0</v>
      </c>
      <c r="L133" s="262">
        <f t="shared" si="18"/>
        <v>0</v>
      </c>
      <c r="M133" s="245">
        <f t="shared" si="7"/>
        <v>0</v>
      </c>
      <c r="N133" s="247">
        <v>6.1</v>
      </c>
      <c r="O133" s="245">
        <f t="shared" si="12"/>
        <v>0.9951060358890701</v>
      </c>
      <c r="P133" s="433" t="s">
        <v>1488</v>
      </c>
      <c r="Q133" s="433">
        <v>2019</v>
      </c>
      <c r="R133" s="266"/>
    </row>
    <row r="134" spans="1:18" ht="45">
      <c r="A134" s="433">
        <v>52</v>
      </c>
      <c r="B134" s="435">
        <v>805461</v>
      </c>
      <c r="C134" s="248" t="s">
        <v>104</v>
      </c>
      <c r="D134" s="339">
        <v>14.05</v>
      </c>
      <c r="E134" s="340"/>
      <c r="F134" s="245"/>
      <c r="G134" s="246"/>
      <c r="H134" s="339">
        <v>0</v>
      </c>
      <c r="I134" s="260">
        <f t="shared" si="13"/>
        <v>0</v>
      </c>
      <c r="J134" s="247">
        <v>0</v>
      </c>
      <c r="K134" s="245">
        <f t="shared" si="14"/>
        <v>0</v>
      </c>
      <c r="L134" s="262">
        <f t="shared" si="18"/>
        <v>0</v>
      </c>
      <c r="M134" s="245">
        <f t="shared" si="7"/>
        <v>0</v>
      </c>
      <c r="N134" s="247">
        <v>6.7</v>
      </c>
      <c r="O134" s="245">
        <f t="shared" si="12"/>
        <v>0.47686832740213519</v>
      </c>
      <c r="P134" s="433" t="s">
        <v>1488</v>
      </c>
      <c r="Q134" s="433">
        <v>2019</v>
      </c>
      <c r="R134" s="266"/>
    </row>
    <row r="135" spans="1:18" ht="30.75" thickBot="1">
      <c r="A135" s="256">
        <v>116</v>
      </c>
      <c r="B135" s="263" t="s">
        <v>1501</v>
      </c>
      <c r="C135" s="454" t="s">
        <v>109</v>
      </c>
      <c r="D135" s="455">
        <v>18.059999999999999</v>
      </c>
      <c r="E135" s="449"/>
      <c r="F135" s="254"/>
      <c r="G135" s="255"/>
      <c r="H135" s="449">
        <v>18.059999999999999</v>
      </c>
      <c r="I135" s="260">
        <f>H135/D135</f>
        <v>1</v>
      </c>
      <c r="J135" s="455">
        <v>18.059999999999999</v>
      </c>
      <c r="K135" s="245">
        <f t="shared" si="14"/>
        <v>1</v>
      </c>
      <c r="L135" s="262">
        <f t="shared" si="18"/>
        <v>18.059999999999999</v>
      </c>
      <c r="M135" s="245">
        <f t="shared" si="7"/>
        <v>1</v>
      </c>
      <c r="N135" s="342">
        <v>18.059999999999999</v>
      </c>
      <c r="O135" s="245">
        <f t="shared" si="12"/>
        <v>1</v>
      </c>
      <c r="P135" s="433" t="s">
        <v>1488</v>
      </c>
      <c r="Q135" s="433">
        <v>2019</v>
      </c>
      <c r="R135" s="266"/>
    </row>
    <row r="136" spans="1:18" ht="60.75" thickTop="1">
      <c r="A136" s="258">
        <v>122</v>
      </c>
      <c r="B136" s="264">
        <v>805871</v>
      </c>
      <c r="C136" s="265" t="s">
        <v>896</v>
      </c>
      <c r="D136" s="447">
        <v>1.18</v>
      </c>
      <c r="E136" s="451"/>
      <c r="F136" s="260"/>
      <c r="G136" s="261"/>
      <c r="H136" s="451">
        <v>0</v>
      </c>
      <c r="I136" s="260">
        <f>H136/D136</f>
        <v>0</v>
      </c>
      <c r="J136" s="262">
        <f>H136</f>
        <v>0</v>
      </c>
      <c r="K136" s="260">
        <f t="shared" si="14"/>
        <v>0</v>
      </c>
      <c r="L136" s="262">
        <f t="shared" si="18"/>
        <v>0</v>
      </c>
      <c r="M136" s="245">
        <f t="shared" si="7"/>
        <v>0</v>
      </c>
      <c r="N136" s="262">
        <f>L136</f>
        <v>0</v>
      </c>
      <c r="O136" s="260">
        <f t="shared" si="12"/>
        <v>0</v>
      </c>
      <c r="P136" s="433" t="s">
        <v>1488</v>
      </c>
      <c r="Q136" s="433">
        <v>2019</v>
      </c>
    </row>
    <row r="137" spans="1:18" ht="60">
      <c r="A137" s="258">
        <v>123</v>
      </c>
      <c r="B137" s="243">
        <v>805871</v>
      </c>
      <c r="C137" s="248" t="s">
        <v>896</v>
      </c>
      <c r="D137" s="339">
        <v>4.41</v>
      </c>
      <c r="E137" s="340"/>
      <c r="F137" s="245"/>
      <c r="G137" s="246"/>
      <c r="H137" s="340">
        <v>0</v>
      </c>
      <c r="I137" s="245">
        <v>0</v>
      </c>
      <c r="J137" s="247">
        <v>0</v>
      </c>
      <c r="K137" s="245">
        <v>0</v>
      </c>
      <c r="L137" s="262">
        <f t="shared" si="18"/>
        <v>0</v>
      </c>
      <c r="M137" s="245">
        <f t="shared" ref="M137:M200" si="19">L137/D137</f>
        <v>0</v>
      </c>
      <c r="N137" s="247">
        <v>0</v>
      </c>
      <c r="O137" s="245">
        <v>0</v>
      </c>
      <c r="P137" s="433" t="s">
        <v>1488</v>
      </c>
      <c r="Q137" s="433">
        <v>2019</v>
      </c>
    </row>
    <row r="138" spans="1:18" ht="30">
      <c r="A138" s="258">
        <v>124</v>
      </c>
      <c r="B138" s="243">
        <v>805742</v>
      </c>
      <c r="C138" s="248" t="s">
        <v>982</v>
      </c>
      <c r="D138" s="339">
        <v>4.5999999999999996</v>
      </c>
      <c r="E138" s="340"/>
      <c r="F138" s="245"/>
      <c r="G138" s="246"/>
      <c r="H138" s="340">
        <v>0</v>
      </c>
      <c r="I138" s="245">
        <f t="shared" ref="I138:I148" si="20">H138/D138</f>
        <v>0</v>
      </c>
      <c r="J138" s="247">
        <v>0</v>
      </c>
      <c r="K138" s="245">
        <f t="shared" ref="K138:K201" si="21">J138/D138</f>
        <v>0</v>
      </c>
      <c r="L138" s="262">
        <f t="shared" si="18"/>
        <v>0</v>
      </c>
      <c r="M138" s="245">
        <f t="shared" si="19"/>
        <v>0</v>
      </c>
      <c r="N138" s="247">
        <v>0</v>
      </c>
      <c r="O138" s="245">
        <f t="shared" ref="O138:O201" si="22">N138/D138</f>
        <v>0</v>
      </c>
      <c r="P138" s="433" t="s">
        <v>1488</v>
      </c>
      <c r="Q138" s="433">
        <v>2019</v>
      </c>
    </row>
    <row r="139" spans="1:18" ht="30">
      <c r="A139" s="258">
        <v>125</v>
      </c>
      <c r="B139" s="243">
        <v>805804</v>
      </c>
      <c r="C139" s="248" t="s">
        <v>983</v>
      </c>
      <c r="D139" s="339">
        <v>4.8310000000000004</v>
      </c>
      <c r="E139" s="340"/>
      <c r="F139" s="245"/>
      <c r="G139" s="246"/>
      <c r="H139" s="340">
        <v>0</v>
      </c>
      <c r="I139" s="245">
        <f t="shared" si="20"/>
        <v>0</v>
      </c>
      <c r="J139" s="247">
        <v>0</v>
      </c>
      <c r="K139" s="245">
        <f t="shared" si="21"/>
        <v>0</v>
      </c>
      <c r="L139" s="262">
        <f t="shared" si="18"/>
        <v>0</v>
      </c>
      <c r="M139" s="245">
        <f t="shared" si="19"/>
        <v>0</v>
      </c>
      <c r="N139" s="247">
        <v>0</v>
      </c>
      <c r="O139" s="245">
        <f t="shared" si="22"/>
        <v>0</v>
      </c>
      <c r="P139" s="433" t="s">
        <v>1488</v>
      </c>
      <c r="Q139" s="433">
        <v>2019</v>
      </c>
    </row>
    <row r="140" spans="1:18" ht="45">
      <c r="A140" s="258">
        <v>126</v>
      </c>
      <c r="B140" s="243">
        <v>805809</v>
      </c>
      <c r="C140" s="248" t="s">
        <v>899</v>
      </c>
      <c r="D140" s="339">
        <v>10.023999999999999</v>
      </c>
      <c r="E140" s="340"/>
      <c r="F140" s="245"/>
      <c r="G140" s="246"/>
      <c r="H140" s="340">
        <v>0</v>
      </c>
      <c r="I140" s="245">
        <f t="shared" si="20"/>
        <v>0</v>
      </c>
      <c r="J140" s="247">
        <v>0</v>
      </c>
      <c r="K140" s="245">
        <f t="shared" si="21"/>
        <v>0</v>
      </c>
      <c r="L140" s="262">
        <f t="shared" si="18"/>
        <v>0</v>
      </c>
      <c r="M140" s="245">
        <f t="shared" si="19"/>
        <v>0</v>
      </c>
      <c r="N140" s="247">
        <v>0</v>
      </c>
      <c r="O140" s="245">
        <f t="shared" si="22"/>
        <v>0</v>
      </c>
      <c r="P140" s="433" t="s">
        <v>1488</v>
      </c>
      <c r="Q140" s="433">
        <v>2019</v>
      </c>
    </row>
    <row r="141" spans="1:18" ht="30">
      <c r="A141" s="258">
        <v>127</v>
      </c>
      <c r="B141" s="243">
        <v>805763</v>
      </c>
      <c r="C141" s="248" t="s">
        <v>985</v>
      </c>
      <c r="D141" s="339">
        <v>6.0570000000000004</v>
      </c>
      <c r="E141" s="340"/>
      <c r="F141" s="245"/>
      <c r="G141" s="246"/>
      <c r="H141" s="340">
        <v>0</v>
      </c>
      <c r="I141" s="245">
        <f t="shared" si="20"/>
        <v>0</v>
      </c>
      <c r="J141" s="247">
        <v>0</v>
      </c>
      <c r="K141" s="245">
        <f t="shared" si="21"/>
        <v>0</v>
      </c>
      <c r="L141" s="262">
        <f t="shared" si="18"/>
        <v>0</v>
      </c>
      <c r="M141" s="245">
        <f t="shared" si="19"/>
        <v>0</v>
      </c>
      <c r="N141" s="247">
        <v>0</v>
      </c>
      <c r="O141" s="245">
        <f t="shared" si="22"/>
        <v>0</v>
      </c>
      <c r="P141" s="433" t="s">
        <v>1488</v>
      </c>
      <c r="Q141" s="433">
        <v>2019</v>
      </c>
    </row>
    <row r="142" spans="1:18" ht="30">
      <c r="A142" s="258">
        <v>128</v>
      </c>
      <c r="B142" s="243" t="s">
        <v>891</v>
      </c>
      <c r="C142" s="248" t="s">
        <v>892</v>
      </c>
      <c r="D142" s="339">
        <v>5.47</v>
      </c>
      <c r="E142" s="340"/>
      <c r="F142" s="245"/>
      <c r="G142" s="246"/>
      <c r="H142" s="340">
        <v>0</v>
      </c>
      <c r="I142" s="245">
        <f t="shared" si="20"/>
        <v>0</v>
      </c>
      <c r="J142" s="247">
        <v>0</v>
      </c>
      <c r="K142" s="245">
        <f t="shared" si="21"/>
        <v>0</v>
      </c>
      <c r="L142" s="262">
        <f t="shared" si="18"/>
        <v>0</v>
      </c>
      <c r="M142" s="245">
        <f t="shared" si="19"/>
        <v>0</v>
      </c>
      <c r="N142" s="247">
        <v>0</v>
      </c>
      <c r="O142" s="245">
        <f t="shared" si="22"/>
        <v>0</v>
      </c>
      <c r="P142" s="433" t="s">
        <v>1488</v>
      </c>
      <c r="Q142" s="433">
        <v>2019</v>
      </c>
    </row>
    <row r="143" spans="1:18" ht="30">
      <c r="A143" s="258">
        <v>129</v>
      </c>
      <c r="B143" s="243" t="s">
        <v>891</v>
      </c>
      <c r="C143" s="248" t="s">
        <v>892</v>
      </c>
      <c r="D143" s="339">
        <v>9.43</v>
      </c>
      <c r="E143" s="340"/>
      <c r="F143" s="245"/>
      <c r="G143" s="246"/>
      <c r="H143" s="340">
        <v>0</v>
      </c>
      <c r="I143" s="245">
        <f t="shared" si="20"/>
        <v>0</v>
      </c>
      <c r="J143" s="247">
        <v>0</v>
      </c>
      <c r="K143" s="245">
        <f t="shared" si="21"/>
        <v>0</v>
      </c>
      <c r="L143" s="262">
        <f t="shared" si="18"/>
        <v>0</v>
      </c>
      <c r="M143" s="245">
        <f t="shared" si="19"/>
        <v>0</v>
      </c>
      <c r="N143" s="247">
        <v>0</v>
      </c>
      <c r="O143" s="245">
        <f t="shared" si="22"/>
        <v>0</v>
      </c>
      <c r="P143" s="433" t="s">
        <v>1488</v>
      </c>
      <c r="Q143" s="433">
        <v>2019</v>
      </c>
    </row>
    <row r="144" spans="1:18" ht="75">
      <c r="A144" s="258">
        <v>130</v>
      </c>
      <c r="B144" s="243" t="s">
        <v>987</v>
      </c>
      <c r="C144" s="248" t="s">
        <v>988</v>
      </c>
      <c r="D144" s="339">
        <v>31.69</v>
      </c>
      <c r="E144" s="340"/>
      <c r="F144" s="245"/>
      <c r="G144" s="246"/>
      <c r="H144" s="340">
        <v>0</v>
      </c>
      <c r="I144" s="245">
        <f t="shared" si="20"/>
        <v>0</v>
      </c>
      <c r="J144" s="247">
        <v>0</v>
      </c>
      <c r="K144" s="245">
        <f t="shared" si="21"/>
        <v>0</v>
      </c>
      <c r="L144" s="262">
        <f t="shared" si="18"/>
        <v>0</v>
      </c>
      <c r="M144" s="245">
        <f t="shared" si="19"/>
        <v>0</v>
      </c>
      <c r="N144" s="247">
        <v>0</v>
      </c>
      <c r="O144" s="245">
        <f t="shared" si="22"/>
        <v>0</v>
      </c>
      <c r="P144" s="433" t="s">
        <v>1488</v>
      </c>
      <c r="Q144" s="433">
        <v>2019</v>
      </c>
    </row>
    <row r="145" spans="1:17" ht="30">
      <c r="A145" s="258">
        <v>131</v>
      </c>
      <c r="B145" s="243" t="s">
        <v>990</v>
      </c>
      <c r="C145" s="248" t="s">
        <v>991</v>
      </c>
      <c r="D145" s="339">
        <v>6.4059999999999997</v>
      </c>
      <c r="E145" s="340"/>
      <c r="F145" s="245"/>
      <c r="G145" s="246"/>
      <c r="H145" s="340">
        <v>0</v>
      </c>
      <c r="I145" s="245">
        <f t="shared" si="20"/>
        <v>0</v>
      </c>
      <c r="J145" s="247">
        <v>0</v>
      </c>
      <c r="K145" s="245">
        <f t="shared" si="21"/>
        <v>0</v>
      </c>
      <c r="L145" s="262">
        <f t="shared" si="18"/>
        <v>0</v>
      </c>
      <c r="M145" s="245">
        <f t="shared" si="19"/>
        <v>0</v>
      </c>
      <c r="N145" s="247">
        <v>0</v>
      </c>
      <c r="O145" s="245">
        <f t="shared" si="22"/>
        <v>0</v>
      </c>
      <c r="P145" s="433" t="s">
        <v>1488</v>
      </c>
      <c r="Q145" s="433">
        <v>2019</v>
      </c>
    </row>
    <row r="146" spans="1:17" ht="30">
      <c r="A146" s="258">
        <v>132</v>
      </c>
      <c r="B146" s="243" t="s">
        <v>993</v>
      </c>
      <c r="C146" s="248" t="s">
        <v>983</v>
      </c>
      <c r="D146" s="339">
        <v>2.569</v>
      </c>
      <c r="E146" s="340"/>
      <c r="F146" s="245"/>
      <c r="G146" s="246"/>
      <c r="H146" s="340">
        <v>0</v>
      </c>
      <c r="I146" s="245">
        <f t="shared" si="20"/>
        <v>0</v>
      </c>
      <c r="J146" s="247">
        <v>0</v>
      </c>
      <c r="K146" s="245">
        <f t="shared" si="21"/>
        <v>0</v>
      </c>
      <c r="L146" s="262">
        <f t="shared" si="18"/>
        <v>0</v>
      </c>
      <c r="M146" s="245">
        <f t="shared" si="19"/>
        <v>0</v>
      </c>
      <c r="N146" s="247">
        <v>0</v>
      </c>
      <c r="O146" s="245">
        <f t="shared" si="22"/>
        <v>0</v>
      </c>
      <c r="P146" s="433" t="s">
        <v>1488</v>
      </c>
      <c r="Q146" s="433">
        <v>2019</v>
      </c>
    </row>
    <row r="147" spans="1:17" ht="30">
      <c r="A147" s="258">
        <v>133</v>
      </c>
      <c r="B147" s="243" t="s">
        <v>901</v>
      </c>
      <c r="C147" s="248" t="s">
        <v>902</v>
      </c>
      <c r="D147" s="339">
        <v>2.9</v>
      </c>
      <c r="E147" s="340"/>
      <c r="F147" s="245"/>
      <c r="G147" s="246"/>
      <c r="H147" s="340">
        <v>0</v>
      </c>
      <c r="I147" s="245">
        <f t="shared" si="20"/>
        <v>0</v>
      </c>
      <c r="J147" s="247">
        <v>0</v>
      </c>
      <c r="K147" s="245">
        <f t="shared" si="21"/>
        <v>0</v>
      </c>
      <c r="L147" s="262">
        <f t="shared" si="18"/>
        <v>0</v>
      </c>
      <c r="M147" s="245">
        <f t="shared" si="19"/>
        <v>0</v>
      </c>
      <c r="N147" s="247">
        <v>0</v>
      </c>
      <c r="O147" s="245">
        <f t="shared" si="22"/>
        <v>0</v>
      </c>
      <c r="P147" s="433" t="s">
        <v>1488</v>
      </c>
      <c r="Q147" s="433">
        <v>2019</v>
      </c>
    </row>
    <row r="148" spans="1:17" ht="30">
      <c r="A148" s="258">
        <v>134</v>
      </c>
      <c r="B148" s="243" t="s">
        <v>995</v>
      </c>
      <c r="C148" s="248" t="s">
        <v>996</v>
      </c>
      <c r="D148" s="339">
        <v>33.83</v>
      </c>
      <c r="E148" s="340"/>
      <c r="F148" s="245"/>
      <c r="G148" s="246"/>
      <c r="H148" s="340">
        <v>0</v>
      </c>
      <c r="I148" s="245">
        <f t="shared" si="20"/>
        <v>0</v>
      </c>
      <c r="J148" s="340">
        <v>0</v>
      </c>
      <c r="K148" s="245">
        <f t="shared" si="21"/>
        <v>0</v>
      </c>
      <c r="L148" s="262">
        <f t="shared" si="18"/>
        <v>0</v>
      </c>
      <c r="M148" s="245">
        <f t="shared" si="19"/>
        <v>0</v>
      </c>
      <c r="N148" s="339">
        <v>33.83</v>
      </c>
      <c r="O148" s="245">
        <f t="shared" si="22"/>
        <v>1</v>
      </c>
      <c r="P148" s="433" t="s">
        <v>1488</v>
      </c>
      <c r="Q148" s="433">
        <v>2019</v>
      </c>
    </row>
    <row r="149" spans="1:17" ht="30">
      <c r="A149" s="258">
        <v>135</v>
      </c>
      <c r="B149" s="243" t="s">
        <v>995</v>
      </c>
      <c r="C149" s="248" t="s">
        <v>997</v>
      </c>
      <c r="D149" s="339">
        <v>20.663</v>
      </c>
      <c r="E149" s="340"/>
      <c r="F149" s="245"/>
      <c r="G149" s="246"/>
      <c r="H149" s="340">
        <v>0</v>
      </c>
      <c r="I149" s="245">
        <f>H149/D149</f>
        <v>0</v>
      </c>
      <c r="J149" s="340">
        <v>0</v>
      </c>
      <c r="K149" s="245">
        <f t="shared" si="21"/>
        <v>0</v>
      </c>
      <c r="L149" s="262">
        <f t="shared" si="18"/>
        <v>0</v>
      </c>
      <c r="M149" s="245">
        <f t="shared" si="19"/>
        <v>0</v>
      </c>
      <c r="N149" s="339">
        <v>20.663</v>
      </c>
      <c r="O149" s="245">
        <f t="shared" si="22"/>
        <v>1</v>
      </c>
      <c r="P149" s="433" t="s">
        <v>1488</v>
      </c>
      <c r="Q149" s="433">
        <v>2019</v>
      </c>
    </row>
    <row r="150" spans="1:17" ht="30">
      <c r="A150" s="258">
        <v>136</v>
      </c>
      <c r="B150" s="243" t="s">
        <v>995</v>
      </c>
      <c r="C150" s="248" t="s">
        <v>998</v>
      </c>
      <c r="D150" s="339">
        <v>84.98</v>
      </c>
      <c r="E150" s="340"/>
      <c r="F150" s="245"/>
      <c r="G150" s="246"/>
      <c r="H150" s="340">
        <v>65</v>
      </c>
      <c r="I150" s="245">
        <f>H150/D150</f>
        <v>0.76488585549541066</v>
      </c>
      <c r="J150" s="247">
        <v>0</v>
      </c>
      <c r="K150" s="245">
        <f t="shared" si="21"/>
        <v>0</v>
      </c>
      <c r="L150" s="262">
        <f t="shared" si="18"/>
        <v>0</v>
      </c>
      <c r="M150" s="245">
        <f t="shared" si="19"/>
        <v>0</v>
      </c>
      <c r="N150" s="339">
        <v>84.98</v>
      </c>
      <c r="O150" s="245">
        <f t="shared" si="22"/>
        <v>1</v>
      </c>
      <c r="P150" s="433" t="s">
        <v>1488</v>
      </c>
      <c r="Q150" s="433">
        <v>2019</v>
      </c>
    </row>
    <row r="151" spans="1:17" ht="45">
      <c r="A151" s="258">
        <v>137</v>
      </c>
      <c r="B151" s="435">
        <v>805468</v>
      </c>
      <c r="C151" s="244" t="s">
        <v>1502</v>
      </c>
      <c r="D151" s="339">
        <v>7.1</v>
      </c>
      <c r="E151" s="340"/>
      <c r="F151" s="245"/>
      <c r="G151" s="246"/>
      <c r="H151" s="339">
        <v>0</v>
      </c>
      <c r="I151" s="245">
        <f>H151/D151</f>
        <v>0</v>
      </c>
      <c r="J151" s="247">
        <v>0</v>
      </c>
      <c r="K151" s="245">
        <f t="shared" si="21"/>
        <v>0</v>
      </c>
      <c r="L151" s="262">
        <f t="shared" si="18"/>
        <v>0</v>
      </c>
      <c r="M151" s="245">
        <f t="shared" si="19"/>
        <v>0</v>
      </c>
      <c r="N151" s="247">
        <v>0</v>
      </c>
      <c r="O151" s="245">
        <f t="shared" si="22"/>
        <v>0</v>
      </c>
      <c r="P151" s="433" t="s">
        <v>1488</v>
      </c>
      <c r="Q151" s="433">
        <v>2019</v>
      </c>
    </row>
    <row r="152" spans="1:17" ht="30">
      <c r="A152" s="258">
        <v>138</v>
      </c>
      <c r="B152" s="243" t="s">
        <v>559</v>
      </c>
      <c r="C152" s="248" t="s">
        <v>904</v>
      </c>
      <c r="D152" s="339">
        <v>34.43</v>
      </c>
      <c r="E152" s="340"/>
      <c r="F152" s="245"/>
      <c r="G152" s="246"/>
      <c r="H152" s="340">
        <v>0</v>
      </c>
      <c r="I152" s="245">
        <f>H152/D152</f>
        <v>0</v>
      </c>
      <c r="J152" s="247">
        <v>0</v>
      </c>
      <c r="K152" s="245">
        <f t="shared" si="21"/>
        <v>0</v>
      </c>
      <c r="L152" s="262">
        <f t="shared" si="18"/>
        <v>0</v>
      </c>
      <c r="M152" s="245">
        <f t="shared" si="19"/>
        <v>0</v>
      </c>
      <c r="N152" s="339">
        <v>0</v>
      </c>
      <c r="O152" s="245">
        <f t="shared" si="22"/>
        <v>0</v>
      </c>
      <c r="P152" s="433" t="s">
        <v>1488</v>
      </c>
      <c r="Q152" s="433">
        <v>2019</v>
      </c>
    </row>
    <row r="153" spans="1:17" ht="75">
      <c r="A153" s="258">
        <v>139</v>
      </c>
      <c r="B153" s="243" t="s">
        <v>987</v>
      </c>
      <c r="C153" s="248" t="s">
        <v>988</v>
      </c>
      <c r="D153" s="339">
        <v>2.4700000000000002</v>
      </c>
      <c r="E153" s="340"/>
      <c r="F153" s="245"/>
      <c r="G153" s="246"/>
      <c r="H153" s="340">
        <v>0</v>
      </c>
      <c r="I153" s="245">
        <f t="shared" ref="I153:I160" si="23">H153/D153</f>
        <v>0</v>
      </c>
      <c r="J153" s="247">
        <v>0</v>
      </c>
      <c r="K153" s="245">
        <f t="shared" si="21"/>
        <v>0</v>
      </c>
      <c r="L153" s="262">
        <f t="shared" si="18"/>
        <v>0</v>
      </c>
      <c r="M153" s="245">
        <f t="shared" si="19"/>
        <v>0</v>
      </c>
      <c r="N153" s="247">
        <v>0</v>
      </c>
      <c r="O153" s="245">
        <f t="shared" si="22"/>
        <v>0</v>
      </c>
      <c r="P153" s="433" t="s">
        <v>1488</v>
      </c>
      <c r="Q153" s="433">
        <v>2019</v>
      </c>
    </row>
    <row r="154" spans="1:17" ht="30">
      <c r="A154" s="258">
        <v>140</v>
      </c>
      <c r="B154" s="243" t="s">
        <v>1001</v>
      </c>
      <c r="C154" s="248" t="s">
        <v>1002</v>
      </c>
      <c r="D154" s="339">
        <v>30.35</v>
      </c>
      <c r="E154" s="340"/>
      <c r="F154" s="245"/>
      <c r="G154" s="246"/>
      <c r="H154" s="340">
        <v>0</v>
      </c>
      <c r="I154" s="245">
        <f t="shared" si="23"/>
        <v>0</v>
      </c>
      <c r="J154" s="247">
        <v>0</v>
      </c>
      <c r="K154" s="245">
        <f t="shared" si="21"/>
        <v>0</v>
      </c>
      <c r="L154" s="262">
        <f t="shared" si="18"/>
        <v>0</v>
      </c>
      <c r="M154" s="245">
        <f t="shared" si="19"/>
        <v>0</v>
      </c>
      <c r="N154" s="247">
        <v>0</v>
      </c>
      <c r="O154" s="245">
        <f t="shared" si="22"/>
        <v>0</v>
      </c>
      <c r="P154" s="433" t="s">
        <v>1488</v>
      </c>
      <c r="Q154" s="433">
        <v>2019</v>
      </c>
    </row>
    <row r="155" spans="1:17">
      <c r="A155" s="258">
        <v>141</v>
      </c>
      <c r="B155" s="243" t="s">
        <v>1004</v>
      </c>
      <c r="C155" s="248" t="s">
        <v>1005</v>
      </c>
      <c r="D155" s="339">
        <v>27.9</v>
      </c>
      <c r="E155" s="340"/>
      <c r="F155" s="245"/>
      <c r="G155" s="246"/>
      <c r="H155" s="340">
        <v>0</v>
      </c>
      <c r="I155" s="245">
        <f t="shared" si="23"/>
        <v>0</v>
      </c>
      <c r="J155" s="247">
        <v>0</v>
      </c>
      <c r="K155" s="245">
        <f t="shared" si="21"/>
        <v>0</v>
      </c>
      <c r="L155" s="262">
        <f t="shared" si="18"/>
        <v>0</v>
      </c>
      <c r="M155" s="245">
        <f t="shared" si="19"/>
        <v>0</v>
      </c>
      <c r="N155" s="247">
        <v>0</v>
      </c>
      <c r="O155" s="245">
        <f t="shared" si="22"/>
        <v>0</v>
      </c>
      <c r="P155" s="433" t="s">
        <v>1488</v>
      </c>
      <c r="Q155" s="433">
        <v>2019</v>
      </c>
    </row>
    <row r="156" spans="1:17" ht="60">
      <c r="A156" s="258">
        <v>142</v>
      </c>
      <c r="B156" s="243" t="s">
        <v>1007</v>
      </c>
      <c r="C156" s="248" t="s">
        <v>1008</v>
      </c>
      <c r="D156" s="339">
        <v>17.559999999999999</v>
      </c>
      <c r="E156" s="340"/>
      <c r="F156" s="245"/>
      <c r="G156" s="246"/>
      <c r="H156" s="340">
        <v>0</v>
      </c>
      <c r="I156" s="245">
        <f t="shared" si="23"/>
        <v>0</v>
      </c>
      <c r="J156" s="247">
        <v>0</v>
      </c>
      <c r="K156" s="245">
        <f t="shared" si="21"/>
        <v>0</v>
      </c>
      <c r="L156" s="262">
        <f t="shared" si="18"/>
        <v>0</v>
      </c>
      <c r="M156" s="245">
        <f t="shared" si="19"/>
        <v>0</v>
      </c>
      <c r="N156" s="247">
        <v>0</v>
      </c>
      <c r="O156" s="245">
        <f t="shared" si="22"/>
        <v>0</v>
      </c>
      <c r="P156" s="433" t="s">
        <v>1488</v>
      </c>
      <c r="Q156" s="433">
        <v>2019</v>
      </c>
    </row>
    <row r="157" spans="1:17" ht="30">
      <c r="A157" s="258">
        <v>143</v>
      </c>
      <c r="B157" s="243" t="s">
        <v>1010</v>
      </c>
      <c r="C157" s="248" t="s">
        <v>1011</v>
      </c>
      <c r="D157" s="339">
        <v>29.7</v>
      </c>
      <c r="E157" s="340"/>
      <c r="F157" s="245"/>
      <c r="G157" s="246"/>
      <c r="H157" s="340">
        <v>0</v>
      </c>
      <c r="I157" s="245">
        <f t="shared" si="23"/>
        <v>0</v>
      </c>
      <c r="J157" s="247">
        <v>0</v>
      </c>
      <c r="K157" s="245">
        <f t="shared" si="21"/>
        <v>0</v>
      </c>
      <c r="L157" s="262">
        <f t="shared" si="18"/>
        <v>0</v>
      </c>
      <c r="M157" s="245">
        <f t="shared" si="19"/>
        <v>0</v>
      </c>
      <c r="N157" s="247">
        <v>0</v>
      </c>
      <c r="O157" s="245">
        <f t="shared" si="22"/>
        <v>0</v>
      </c>
      <c r="P157" s="433" t="s">
        <v>1488</v>
      </c>
      <c r="Q157" s="433">
        <v>2019</v>
      </c>
    </row>
    <row r="158" spans="1:17" ht="45">
      <c r="A158" s="258">
        <v>144</v>
      </c>
      <c r="B158" s="243" t="s">
        <v>1013</v>
      </c>
      <c r="C158" s="248" t="s">
        <v>1503</v>
      </c>
      <c r="D158" s="339">
        <v>8.7200000000000006</v>
      </c>
      <c r="E158" s="340"/>
      <c r="F158" s="245"/>
      <c r="G158" s="246"/>
      <c r="H158" s="340">
        <v>0</v>
      </c>
      <c r="I158" s="245">
        <f t="shared" si="23"/>
        <v>0</v>
      </c>
      <c r="J158" s="247">
        <v>0</v>
      </c>
      <c r="K158" s="245">
        <f t="shared" si="21"/>
        <v>0</v>
      </c>
      <c r="L158" s="262">
        <f t="shared" si="18"/>
        <v>0</v>
      </c>
      <c r="M158" s="245">
        <f t="shared" si="19"/>
        <v>0</v>
      </c>
      <c r="N158" s="247">
        <v>0</v>
      </c>
      <c r="O158" s="245">
        <f t="shared" si="22"/>
        <v>0</v>
      </c>
      <c r="P158" s="433" t="s">
        <v>1488</v>
      </c>
      <c r="Q158" s="433">
        <v>2019</v>
      </c>
    </row>
    <row r="159" spans="1:17" ht="30">
      <c r="A159" s="258">
        <v>145</v>
      </c>
      <c r="B159" s="243" t="s">
        <v>1016</v>
      </c>
      <c r="C159" s="248" t="s">
        <v>1017</v>
      </c>
      <c r="D159" s="339">
        <v>4.8499999999999996</v>
      </c>
      <c r="E159" s="340"/>
      <c r="F159" s="245"/>
      <c r="G159" s="246"/>
      <c r="H159" s="339">
        <v>0</v>
      </c>
      <c r="I159" s="245">
        <f t="shared" si="23"/>
        <v>0</v>
      </c>
      <c r="J159" s="339">
        <v>0</v>
      </c>
      <c r="K159" s="245">
        <f t="shared" si="21"/>
        <v>0</v>
      </c>
      <c r="L159" s="262">
        <f t="shared" si="18"/>
        <v>0</v>
      </c>
      <c r="M159" s="245">
        <f t="shared" si="19"/>
        <v>0</v>
      </c>
      <c r="N159" s="339">
        <v>0</v>
      </c>
      <c r="O159" s="245">
        <f t="shared" si="22"/>
        <v>0</v>
      </c>
      <c r="P159" s="433" t="s">
        <v>1488</v>
      </c>
      <c r="Q159" s="433">
        <v>2019</v>
      </c>
    </row>
    <row r="160" spans="1:17">
      <c r="A160" s="258">
        <v>146</v>
      </c>
      <c r="B160" s="243" t="s">
        <v>1019</v>
      </c>
      <c r="C160" s="248" t="s">
        <v>1020</v>
      </c>
      <c r="D160" s="339">
        <v>3.61</v>
      </c>
      <c r="E160" s="340"/>
      <c r="F160" s="245"/>
      <c r="G160" s="246"/>
      <c r="H160" s="340">
        <v>0</v>
      </c>
      <c r="I160" s="245">
        <f t="shared" si="23"/>
        <v>0</v>
      </c>
      <c r="J160" s="247">
        <v>0</v>
      </c>
      <c r="K160" s="245">
        <f t="shared" si="21"/>
        <v>0</v>
      </c>
      <c r="L160" s="262">
        <f t="shared" si="18"/>
        <v>0</v>
      </c>
      <c r="M160" s="245">
        <f t="shared" si="19"/>
        <v>0</v>
      </c>
      <c r="N160" s="247">
        <v>0</v>
      </c>
      <c r="O160" s="245">
        <f t="shared" si="22"/>
        <v>0</v>
      </c>
      <c r="P160" s="433" t="s">
        <v>1488</v>
      </c>
      <c r="Q160" s="433">
        <v>2019</v>
      </c>
    </row>
    <row r="161" spans="1:17" ht="30">
      <c r="A161" s="258">
        <v>147</v>
      </c>
      <c r="B161" s="243" t="s">
        <v>1022</v>
      </c>
      <c r="C161" s="248" t="s">
        <v>1023</v>
      </c>
      <c r="D161" s="339">
        <v>3.6850000000000001</v>
      </c>
      <c r="E161" s="340"/>
      <c r="F161" s="245"/>
      <c r="G161" s="246"/>
      <c r="H161" s="340">
        <v>0</v>
      </c>
      <c r="I161" s="245">
        <f>H161/D161</f>
        <v>0</v>
      </c>
      <c r="J161" s="247">
        <v>0</v>
      </c>
      <c r="K161" s="245">
        <f t="shared" si="21"/>
        <v>0</v>
      </c>
      <c r="L161" s="262">
        <f t="shared" si="18"/>
        <v>0</v>
      </c>
      <c r="M161" s="245">
        <f t="shared" si="19"/>
        <v>0</v>
      </c>
      <c r="N161" s="247">
        <v>0</v>
      </c>
      <c r="O161" s="245">
        <f t="shared" si="22"/>
        <v>0</v>
      </c>
      <c r="P161" s="433" t="s">
        <v>1488</v>
      </c>
      <c r="Q161" s="433">
        <v>2019</v>
      </c>
    </row>
    <row r="162" spans="1:17" ht="75">
      <c r="A162" s="258">
        <v>148</v>
      </c>
      <c r="B162" s="243" t="s">
        <v>1025</v>
      </c>
      <c r="C162" s="248" t="s">
        <v>1026</v>
      </c>
      <c r="D162" s="339">
        <v>0.52700000000000002</v>
      </c>
      <c r="E162" s="340"/>
      <c r="F162" s="245"/>
      <c r="G162" s="246"/>
      <c r="H162" s="340">
        <v>0</v>
      </c>
      <c r="I162" s="245">
        <f>H162/D162</f>
        <v>0</v>
      </c>
      <c r="J162" s="247">
        <v>0</v>
      </c>
      <c r="K162" s="245">
        <f t="shared" si="21"/>
        <v>0</v>
      </c>
      <c r="L162" s="262">
        <f t="shared" si="18"/>
        <v>0</v>
      </c>
      <c r="M162" s="245">
        <f t="shared" si="19"/>
        <v>0</v>
      </c>
      <c r="N162" s="247">
        <v>0</v>
      </c>
      <c r="O162" s="245">
        <f t="shared" si="22"/>
        <v>0</v>
      </c>
      <c r="P162" s="433" t="s">
        <v>1488</v>
      </c>
      <c r="Q162" s="433">
        <v>2019</v>
      </c>
    </row>
    <row r="163" spans="1:17" ht="60">
      <c r="A163" s="258">
        <v>149</v>
      </c>
      <c r="B163" s="243" t="s">
        <v>1028</v>
      </c>
      <c r="C163" s="248" t="s">
        <v>1029</v>
      </c>
      <c r="D163" s="339">
        <v>2.0699999999999998</v>
      </c>
      <c r="E163" s="340"/>
      <c r="F163" s="245"/>
      <c r="G163" s="246"/>
      <c r="H163" s="340">
        <v>0</v>
      </c>
      <c r="I163" s="245">
        <f>H163/D163</f>
        <v>0</v>
      </c>
      <c r="J163" s="247">
        <v>0</v>
      </c>
      <c r="K163" s="245">
        <f t="shared" si="21"/>
        <v>0</v>
      </c>
      <c r="L163" s="262">
        <f t="shared" si="18"/>
        <v>0</v>
      </c>
      <c r="M163" s="245">
        <f t="shared" si="19"/>
        <v>0</v>
      </c>
      <c r="N163" s="247">
        <v>0</v>
      </c>
      <c r="O163" s="245">
        <f t="shared" si="22"/>
        <v>0</v>
      </c>
      <c r="P163" s="433" t="s">
        <v>1488</v>
      </c>
      <c r="Q163" s="433">
        <v>2019</v>
      </c>
    </row>
    <row r="164" spans="1:17" ht="30">
      <c r="A164" s="258">
        <v>150</v>
      </c>
      <c r="B164" s="435">
        <v>805476</v>
      </c>
      <c r="C164" s="248" t="s">
        <v>1031</v>
      </c>
      <c r="D164" s="339">
        <v>8.25</v>
      </c>
      <c r="E164" s="340"/>
      <c r="F164" s="245"/>
      <c r="G164" s="246"/>
      <c r="H164" s="340">
        <v>0</v>
      </c>
      <c r="I164" s="245">
        <f>H164/D164</f>
        <v>0</v>
      </c>
      <c r="J164" s="247">
        <v>0</v>
      </c>
      <c r="K164" s="245">
        <f t="shared" si="21"/>
        <v>0</v>
      </c>
      <c r="L164" s="262">
        <f t="shared" si="18"/>
        <v>0</v>
      </c>
      <c r="M164" s="245">
        <f t="shared" si="19"/>
        <v>0</v>
      </c>
      <c r="N164" s="247">
        <v>0</v>
      </c>
      <c r="O164" s="245">
        <f t="shared" si="22"/>
        <v>0</v>
      </c>
      <c r="P164" s="433" t="s">
        <v>1488</v>
      </c>
      <c r="Q164" s="433">
        <v>2019</v>
      </c>
    </row>
    <row r="165" spans="1:17" ht="30">
      <c r="A165" s="258">
        <v>151</v>
      </c>
      <c r="B165" s="243" t="s">
        <v>1033</v>
      </c>
      <c r="C165" s="248" t="s">
        <v>1034</v>
      </c>
      <c r="D165" s="339">
        <v>11.423</v>
      </c>
      <c r="E165" s="340"/>
      <c r="F165" s="245"/>
      <c r="G165" s="246"/>
      <c r="H165" s="340">
        <v>0</v>
      </c>
      <c r="I165" s="245">
        <f t="shared" ref="I165:I228" si="24">H165/D165</f>
        <v>0</v>
      </c>
      <c r="J165" s="247">
        <v>0</v>
      </c>
      <c r="K165" s="245">
        <f t="shared" si="21"/>
        <v>0</v>
      </c>
      <c r="L165" s="262">
        <f t="shared" si="18"/>
        <v>0</v>
      </c>
      <c r="M165" s="245">
        <f t="shared" si="19"/>
        <v>0</v>
      </c>
      <c r="N165" s="247">
        <v>0</v>
      </c>
      <c r="O165" s="245">
        <f t="shared" si="22"/>
        <v>0</v>
      </c>
      <c r="P165" s="433" t="s">
        <v>1488</v>
      </c>
      <c r="Q165" s="433">
        <v>2019</v>
      </c>
    </row>
    <row r="166" spans="1:17" ht="30">
      <c r="A166" s="258">
        <v>152</v>
      </c>
      <c r="B166" s="243" t="s">
        <v>1036</v>
      </c>
      <c r="C166" s="248" t="s">
        <v>1037</v>
      </c>
      <c r="D166" s="339">
        <v>34.561999999999998</v>
      </c>
      <c r="E166" s="340"/>
      <c r="F166" s="245"/>
      <c r="G166" s="246"/>
      <c r="H166" s="340">
        <v>0</v>
      </c>
      <c r="I166" s="245">
        <f t="shared" si="24"/>
        <v>0</v>
      </c>
      <c r="J166" s="247">
        <v>0</v>
      </c>
      <c r="K166" s="245">
        <f t="shared" si="21"/>
        <v>0</v>
      </c>
      <c r="L166" s="262">
        <f t="shared" si="18"/>
        <v>0</v>
      </c>
      <c r="M166" s="245">
        <f t="shared" si="19"/>
        <v>0</v>
      </c>
      <c r="N166" s="247">
        <v>0</v>
      </c>
      <c r="O166" s="245">
        <f t="shared" si="22"/>
        <v>0</v>
      </c>
      <c r="P166" s="433" t="s">
        <v>1488</v>
      </c>
      <c r="Q166" s="433">
        <v>2019</v>
      </c>
    </row>
    <row r="167" spans="1:17" ht="30">
      <c r="A167" s="258">
        <v>153</v>
      </c>
      <c r="B167" s="243" t="s">
        <v>1039</v>
      </c>
      <c r="C167" s="248" t="s">
        <v>1040</v>
      </c>
      <c r="D167" s="339">
        <v>23.373000000000001</v>
      </c>
      <c r="E167" s="340"/>
      <c r="F167" s="245"/>
      <c r="G167" s="246"/>
      <c r="H167" s="340">
        <v>0</v>
      </c>
      <c r="I167" s="245">
        <f t="shared" si="24"/>
        <v>0</v>
      </c>
      <c r="J167" s="247">
        <v>0</v>
      </c>
      <c r="K167" s="245">
        <f t="shared" si="21"/>
        <v>0</v>
      </c>
      <c r="L167" s="262">
        <f t="shared" si="18"/>
        <v>0</v>
      </c>
      <c r="M167" s="245">
        <f t="shared" si="19"/>
        <v>0</v>
      </c>
      <c r="N167" s="247">
        <v>0</v>
      </c>
      <c r="O167" s="245">
        <f t="shared" si="22"/>
        <v>0</v>
      </c>
      <c r="P167" s="433" t="s">
        <v>1488</v>
      </c>
      <c r="Q167" s="433">
        <v>2019</v>
      </c>
    </row>
    <row r="168" spans="1:17" ht="60">
      <c r="A168" s="258">
        <v>154</v>
      </c>
      <c r="B168" s="243" t="s">
        <v>1042</v>
      </c>
      <c r="C168" s="248" t="s">
        <v>1043</v>
      </c>
      <c r="D168" s="339">
        <v>13.903</v>
      </c>
      <c r="E168" s="340"/>
      <c r="F168" s="245"/>
      <c r="G168" s="246"/>
      <c r="H168" s="340">
        <v>0</v>
      </c>
      <c r="I168" s="245">
        <f t="shared" si="24"/>
        <v>0</v>
      </c>
      <c r="J168" s="247">
        <v>0</v>
      </c>
      <c r="K168" s="245">
        <f t="shared" si="21"/>
        <v>0</v>
      </c>
      <c r="L168" s="262">
        <f t="shared" si="18"/>
        <v>0</v>
      </c>
      <c r="M168" s="245">
        <f t="shared" si="19"/>
        <v>0</v>
      </c>
      <c r="N168" s="247">
        <v>0</v>
      </c>
      <c r="O168" s="245">
        <f t="shared" si="22"/>
        <v>0</v>
      </c>
      <c r="P168" s="433" t="s">
        <v>1488</v>
      </c>
      <c r="Q168" s="433">
        <v>2019</v>
      </c>
    </row>
    <row r="169" spans="1:17" ht="30">
      <c r="A169" s="258">
        <v>155</v>
      </c>
      <c r="B169" s="243" t="s">
        <v>1045</v>
      </c>
      <c r="C169" s="248" t="s">
        <v>1046</v>
      </c>
      <c r="D169" s="339">
        <v>0.35399999999999998</v>
      </c>
      <c r="E169" s="340"/>
      <c r="F169" s="245"/>
      <c r="G169" s="246"/>
      <c r="H169" s="340">
        <v>0</v>
      </c>
      <c r="I169" s="245">
        <f t="shared" si="24"/>
        <v>0</v>
      </c>
      <c r="J169" s="247">
        <v>0</v>
      </c>
      <c r="K169" s="245">
        <f t="shared" si="21"/>
        <v>0</v>
      </c>
      <c r="L169" s="262">
        <f t="shared" si="18"/>
        <v>0</v>
      </c>
      <c r="M169" s="245">
        <f t="shared" si="19"/>
        <v>0</v>
      </c>
      <c r="N169" s="247">
        <v>0</v>
      </c>
      <c r="O169" s="245">
        <f t="shared" si="22"/>
        <v>0</v>
      </c>
      <c r="P169" s="433" t="s">
        <v>1488</v>
      </c>
      <c r="Q169" s="433">
        <v>2019</v>
      </c>
    </row>
    <row r="170" spans="1:17" ht="45">
      <c r="A170" s="258">
        <v>156</v>
      </c>
      <c r="B170" s="243" t="s">
        <v>1048</v>
      </c>
      <c r="C170" s="248" t="s">
        <v>1049</v>
      </c>
      <c r="D170" s="339">
        <v>2.9369999999999998</v>
      </c>
      <c r="E170" s="340"/>
      <c r="F170" s="245"/>
      <c r="G170" s="246"/>
      <c r="H170" s="340">
        <v>0</v>
      </c>
      <c r="I170" s="245">
        <f t="shared" si="24"/>
        <v>0</v>
      </c>
      <c r="J170" s="247">
        <v>0</v>
      </c>
      <c r="K170" s="245">
        <f t="shared" si="21"/>
        <v>0</v>
      </c>
      <c r="L170" s="262">
        <f t="shared" si="18"/>
        <v>0</v>
      </c>
      <c r="M170" s="245">
        <f t="shared" si="19"/>
        <v>0</v>
      </c>
      <c r="N170" s="247">
        <v>0</v>
      </c>
      <c r="O170" s="245">
        <f t="shared" si="22"/>
        <v>0</v>
      </c>
      <c r="P170" s="433" t="s">
        <v>1488</v>
      </c>
      <c r="Q170" s="433">
        <v>2019</v>
      </c>
    </row>
    <row r="171" spans="1:17" ht="60">
      <c r="A171" s="258">
        <v>158</v>
      </c>
      <c r="B171" s="435">
        <v>805818</v>
      </c>
      <c r="C171" s="248" t="s">
        <v>1051</v>
      </c>
      <c r="D171" s="339">
        <v>18.52</v>
      </c>
      <c r="E171" s="340"/>
      <c r="F171" s="245"/>
      <c r="G171" s="246"/>
      <c r="H171" s="340">
        <v>0</v>
      </c>
      <c r="I171" s="245">
        <f t="shared" si="24"/>
        <v>0</v>
      </c>
      <c r="J171" s="247">
        <v>0</v>
      </c>
      <c r="K171" s="245">
        <f t="shared" si="21"/>
        <v>0</v>
      </c>
      <c r="L171" s="262">
        <f t="shared" si="18"/>
        <v>0</v>
      </c>
      <c r="M171" s="245">
        <f t="shared" si="19"/>
        <v>0</v>
      </c>
      <c r="N171" s="247">
        <v>0</v>
      </c>
      <c r="O171" s="245">
        <f t="shared" si="22"/>
        <v>0</v>
      </c>
      <c r="P171" s="433" t="s">
        <v>1488</v>
      </c>
      <c r="Q171" s="433">
        <v>2019</v>
      </c>
    </row>
    <row r="172" spans="1:17" ht="45">
      <c r="A172" s="258">
        <v>159</v>
      </c>
      <c r="B172" s="243" t="s">
        <v>1053</v>
      </c>
      <c r="C172" s="248" t="s">
        <v>1054</v>
      </c>
      <c r="D172" s="339">
        <v>15.56</v>
      </c>
      <c r="E172" s="340"/>
      <c r="F172" s="245"/>
      <c r="G172" s="246"/>
      <c r="H172" s="340">
        <v>0</v>
      </c>
      <c r="I172" s="245">
        <f t="shared" si="24"/>
        <v>0</v>
      </c>
      <c r="J172" s="247">
        <v>0</v>
      </c>
      <c r="K172" s="245">
        <f t="shared" si="21"/>
        <v>0</v>
      </c>
      <c r="L172" s="262">
        <f t="shared" si="18"/>
        <v>0</v>
      </c>
      <c r="M172" s="245">
        <f t="shared" si="19"/>
        <v>0</v>
      </c>
      <c r="N172" s="247">
        <v>0</v>
      </c>
      <c r="O172" s="245">
        <f t="shared" si="22"/>
        <v>0</v>
      </c>
      <c r="P172" s="433" t="s">
        <v>1488</v>
      </c>
      <c r="Q172" s="433">
        <v>2019</v>
      </c>
    </row>
    <row r="173" spans="1:17" ht="45">
      <c r="A173" s="258">
        <v>160</v>
      </c>
      <c r="B173" s="243" t="s">
        <v>1056</v>
      </c>
      <c r="C173" s="248" t="s">
        <v>1057</v>
      </c>
      <c r="D173" s="339">
        <v>1.5</v>
      </c>
      <c r="E173" s="340"/>
      <c r="F173" s="245"/>
      <c r="G173" s="246"/>
      <c r="H173" s="340">
        <v>0</v>
      </c>
      <c r="I173" s="245">
        <f t="shared" si="24"/>
        <v>0</v>
      </c>
      <c r="J173" s="247">
        <v>0</v>
      </c>
      <c r="K173" s="245">
        <f t="shared" si="21"/>
        <v>0</v>
      </c>
      <c r="L173" s="262">
        <f t="shared" si="18"/>
        <v>0</v>
      </c>
      <c r="M173" s="245">
        <f t="shared" si="19"/>
        <v>0</v>
      </c>
      <c r="N173" s="247">
        <v>0</v>
      </c>
      <c r="O173" s="245">
        <f t="shared" si="22"/>
        <v>0</v>
      </c>
      <c r="P173" s="433" t="s">
        <v>1488</v>
      </c>
      <c r="Q173" s="433">
        <v>2019</v>
      </c>
    </row>
    <row r="174" spans="1:17" ht="45">
      <c r="A174" s="258">
        <v>161</v>
      </c>
      <c r="B174" s="243" t="s">
        <v>1056</v>
      </c>
      <c r="C174" s="248" t="s">
        <v>1059</v>
      </c>
      <c r="D174" s="339">
        <v>2.29</v>
      </c>
      <c r="E174" s="340"/>
      <c r="F174" s="245"/>
      <c r="G174" s="246"/>
      <c r="H174" s="340">
        <v>0</v>
      </c>
      <c r="I174" s="245">
        <f t="shared" si="24"/>
        <v>0</v>
      </c>
      <c r="J174" s="247">
        <v>0</v>
      </c>
      <c r="K174" s="245">
        <f t="shared" si="21"/>
        <v>0</v>
      </c>
      <c r="L174" s="262">
        <f t="shared" si="18"/>
        <v>0</v>
      </c>
      <c r="M174" s="245">
        <f t="shared" si="19"/>
        <v>0</v>
      </c>
      <c r="N174" s="247">
        <v>0</v>
      </c>
      <c r="O174" s="245">
        <f t="shared" si="22"/>
        <v>0</v>
      </c>
      <c r="P174" s="433" t="s">
        <v>1488</v>
      </c>
      <c r="Q174" s="433">
        <v>2019</v>
      </c>
    </row>
    <row r="175" spans="1:17" ht="45">
      <c r="A175" s="258">
        <v>162</v>
      </c>
      <c r="B175" s="243" t="s">
        <v>885</v>
      </c>
      <c r="C175" s="248" t="s">
        <v>886</v>
      </c>
      <c r="D175" s="339">
        <v>1.47</v>
      </c>
      <c r="E175" s="340"/>
      <c r="F175" s="245"/>
      <c r="G175" s="246"/>
      <c r="H175" s="340">
        <v>0</v>
      </c>
      <c r="I175" s="245">
        <f t="shared" si="24"/>
        <v>0</v>
      </c>
      <c r="J175" s="247">
        <v>0</v>
      </c>
      <c r="K175" s="245">
        <f t="shared" si="21"/>
        <v>0</v>
      </c>
      <c r="L175" s="262">
        <f t="shared" si="18"/>
        <v>0</v>
      </c>
      <c r="M175" s="245">
        <f t="shared" si="19"/>
        <v>0</v>
      </c>
      <c r="N175" s="247">
        <v>0</v>
      </c>
      <c r="O175" s="245">
        <f t="shared" si="22"/>
        <v>0</v>
      </c>
      <c r="P175" s="433" t="s">
        <v>1488</v>
      </c>
      <c r="Q175" s="433">
        <v>2019</v>
      </c>
    </row>
    <row r="176" spans="1:17" ht="45">
      <c r="A176" s="258">
        <v>163</v>
      </c>
      <c r="B176" s="243" t="s">
        <v>885</v>
      </c>
      <c r="C176" s="248" t="s">
        <v>1060</v>
      </c>
      <c r="D176" s="339">
        <v>1.68</v>
      </c>
      <c r="E176" s="340"/>
      <c r="F176" s="245"/>
      <c r="G176" s="246"/>
      <c r="H176" s="340">
        <v>0</v>
      </c>
      <c r="I176" s="245">
        <f t="shared" si="24"/>
        <v>0</v>
      </c>
      <c r="J176" s="247">
        <v>0</v>
      </c>
      <c r="K176" s="245">
        <f t="shared" si="21"/>
        <v>0</v>
      </c>
      <c r="L176" s="262">
        <f t="shared" si="18"/>
        <v>0</v>
      </c>
      <c r="M176" s="245">
        <f t="shared" si="19"/>
        <v>0</v>
      </c>
      <c r="N176" s="247">
        <v>0</v>
      </c>
      <c r="O176" s="245">
        <f t="shared" si="22"/>
        <v>0</v>
      </c>
      <c r="P176" s="433" t="s">
        <v>1488</v>
      </c>
      <c r="Q176" s="433">
        <v>2019</v>
      </c>
    </row>
    <row r="177" spans="1:17" ht="30">
      <c r="A177" s="258">
        <v>164</v>
      </c>
      <c r="B177" s="243" t="s">
        <v>888</v>
      </c>
      <c r="C177" s="248" t="s">
        <v>889</v>
      </c>
      <c r="D177" s="339">
        <v>15</v>
      </c>
      <c r="E177" s="340"/>
      <c r="F177" s="245"/>
      <c r="G177" s="246"/>
      <c r="H177" s="340">
        <v>0</v>
      </c>
      <c r="I177" s="245">
        <f t="shared" si="24"/>
        <v>0</v>
      </c>
      <c r="J177" s="247">
        <v>0</v>
      </c>
      <c r="K177" s="245">
        <f t="shared" si="21"/>
        <v>0</v>
      </c>
      <c r="L177" s="262">
        <f t="shared" si="18"/>
        <v>0</v>
      </c>
      <c r="M177" s="245">
        <f t="shared" si="19"/>
        <v>0</v>
      </c>
      <c r="N177" s="247">
        <v>0</v>
      </c>
      <c r="O177" s="245">
        <f t="shared" si="22"/>
        <v>0</v>
      </c>
      <c r="P177" s="433" t="s">
        <v>1488</v>
      </c>
      <c r="Q177" s="433">
        <v>2019</v>
      </c>
    </row>
    <row r="178" spans="1:17">
      <c r="A178" s="258">
        <v>165</v>
      </c>
      <c r="B178" s="243" t="s">
        <v>1061</v>
      </c>
      <c r="C178" s="248" t="s">
        <v>1062</v>
      </c>
      <c r="D178" s="339">
        <v>1.69</v>
      </c>
      <c r="E178" s="340"/>
      <c r="F178" s="245"/>
      <c r="G178" s="246"/>
      <c r="H178" s="340">
        <v>0</v>
      </c>
      <c r="I178" s="245">
        <f t="shared" si="24"/>
        <v>0</v>
      </c>
      <c r="J178" s="247">
        <v>0</v>
      </c>
      <c r="K178" s="245">
        <f t="shared" si="21"/>
        <v>0</v>
      </c>
      <c r="L178" s="262">
        <f t="shared" si="18"/>
        <v>0</v>
      </c>
      <c r="M178" s="245">
        <f t="shared" si="19"/>
        <v>0</v>
      </c>
      <c r="N178" s="247">
        <v>0</v>
      </c>
      <c r="O178" s="245">
        <f t="shared" si="22"/>
        <v>0</v>
      </c>
      <c r="P178" s="433" t="s">
        <v>1488</v>
      </c>
      <c r="Q178" s="433">
        <v>2019</v>
      </c>
    </row>
    <row r="179" spans="1:17" ht="30">
      <c r="A179" s="258">
        <v>167</v>
      </c>
      <c r="B179" s="243" t="s">
        <v>1064</v>
      </c>
      <c r="C179" s="248" t="s">
        <v>1504</v>
      </c>
      <c r="D179" s="339">
        <v>3.26</v>
      </c>
      <c r="E179" s="340"/>
      <c r="F179" s="245"/>
      <c r="G179" s="246"/>
      <c r="H179" s="340">
        <v>0</v>
      </c>
      <c r="I179" s="245">
        <f t="shared" si="24"/>
        <v>0</v>
      </c>
      <c r="J179" s="247">
        <v>0</v>
      </c>
      <c r="K179" s="245">
        <f t="shared" si="21"/>
        <v>0</v>
      </c>
      <c r="L179" s="262">
        <f t="shared" si="18"/>
        <v>0</v>
      </c>
      <c r="M179" s="245">
        <f t="shared" si="19"/>
        <v>0</v>
      </c>
      <c r="N179" s="247">
        <v>0</v>
      </c>
      <c r="O179" s="245">
        <f t="shared" si="22"/>
        <v>0</v>
      </c>
      <c r="P179" s="433" t="s">
        <v>1488</v>
      </c>
      <c r="Q179" s="433">
        <v>2019</v>
      </c>
    </row>
    <row r="180" spans="1:17" ht="30">
      <c r="A180" s="258">
        <v>168</v>
      </c>
      <c r="B180" s="243" t="s">
        <v>1066</v>
      </c>
      <c r="C180" s="248" t="s">
        <v>1067</v>
      </c>
      <c r="D180" s="339">
        <v>29.64</v>
      </c>
      <c r="E180" s="340"/>
      <c r="F180" s="245"/>
      <c r="G180" s="246"/>
      <c r="H180" s="340">
        <v>0</v>
      </c>
      <c r="I180" s="245">
        <f t="shared" si="24"/>
        <v>0</v>
      </c>
      <c r="J180" s="247">
        <v>0</v>
      </c>
      <c r="K180" s="245">
        <f t="shared" si="21"/>
        <v>0</v>
      </c>
      <c r="L180" s="262">
        <f t="shared" si="18"/>
        <v>0</v>
      </c>
      <c r="M180" s="245">
        <f t="shared" si="19"/>
        <v>0</v>
      </c>
      <c r="N180" s="247">
        <v>0</v>
      </c>
      <c r="O180" s="245">
        <f t="shared" si="22"/>
        <v>0</v>
      </c>
      <c r="P180" s="433" t="s">
        <v>1488</v>
      </c>
      <c r="Q180" s="433">
        <v>2019</v>
      </c>
    </row>
    <row r="181" spans="1:17">
      <c r="A181" s="258">
        <v>169</v>
      </c>
      <c r="B181" s="243" t="s">
        <v>1069</v>
      </c>
      <c r="C181" s="248" t="s">
        <v>1070</v>
      </c>
      <c r="D181" s="339">
        <v>7.36</v>
      </c>
      <c r="E181" s="340"/>
      <c r="F181" s="245"/>
      <c r="G181" s="246"/>
      <c r="H181" s="340">
        <v>0</v>
      </c>
      <c r="I181" s="245">
        <f t="shared" si="24"/>
        <v>0</v>
      </c>
      <c r="J181" s="247">
        <v>0</v>
      </c>
      <c r="K181" s="245">
        <f t="shared" si="21"/>
        <v>0</v>
      </c>
      <c r="L181" s="262">
        <f t="shared" si="18"/>
        <v>0</v>
      </c>
      <c r="M181" s="245">
        <f t="shared" si="19"/>
        <v>0</v>
      </c>
      <c r="N181" s="247">
        <v>0</v>
      </c>
      <c r="O181" s="245">
        <f t="shared" si="22"/>
        <v>0</v>
      </c>
      <c r="P181" s="433" t="s">
        <v>1488</v>
      </c>
      <c r="Q181" s="433">
        <v>2019</v>
      </c>
    </row>
    <row r="182" spans="1:17" ht="30">
      <c r="A182" s="258">
        <v>170</v>
      </c>
      <c r="B182" s="243" t="s">
        <v>1072</v>
      </c>
      <c r="C182" s="248" t="s">
        <v>1073</v>
      </c>
      <c r="D182" s="339">
        <v>9.9600000000000009</v>
      </c>
      <c r="E182" s="340"/>
      <c r="F182" s="245"/>
      <c r="G182" s="246"/>
      <c r="H182" s="340">
        <v>0</v>
      </c>
      <c r="I182" s="245">
        <f t="shared" si="24"/>
        <v>0</v>
      </c>
      <c r="J182" s="247">
        <v>0</v>
      </c>
      <c r="K182" s="245">
        <f t="shared" si="21"/>
        <v>0</v>
      </c>
      <c r="L182" s="262">
        <f t="shared" si="18"/>
        <v>0</v>
      </c>
      <c r="M182" s="245">
        <f t="shared" si="19"/>
        <v>0</v>
      </c>
      <c r="N182" s="247">
        <v>0</v>
      </c>
      <c r="O182" s="245">
        <f t="shared" si="22"/>
        <v>0</v>
      </c>
      <c r="P182" s="433" t="s">
        <v>1488</v>
      </c>
      <c r="Q182" s="433">
        <v>2019</v>
      </c>
    </row>
    <row r="183" spans="1:17" ht="30">
      <c r="A183" s="258">
        <v>171</v>
      </c>
      <c r="B183" s="243" t="s">
        <v>1075</v>
      </c>
      <c r="C183" s="248" t="s">
        <v>1076</v>
      </c>
      <c r="D183" s="339">
        <v>0.77500000000000002</v>
      </c>
      <c r="E183" s="340"/>
      <c r="F183" s="245"/>
      <c r="G183" s="246"/>
      <c r="H183" s="340">
        <v>0</v>
      </c>
      <c r="I183" s="245">
        <f t="shared" si="24"/>
        <v>0</v>
      </c>
      <c r="J183" s="247">
        <v>0</v>
      </c>
      <c r="K183" s="245">
        <f t="shared" si="21"/>
        <v>0</v>
      </c>
      <c r="L183" s="262">
        <f t="shared" si="18"/>
        <v>0</v>
      </c>
      <c r="M183" s="245">
        <f t="shared" si="19"/>
        <v>0</v>
      </c>
      <c r="N183" s="247">
        <v>0</v>
      </c>
      <c r="O183" s="245">
        <f t="shared" si="22"/>
        <v>0</v>
      </c>
      <c r="P183" s="433" t="s">
        <v>1488</v>
      </c>
      <c r="Q183" s="433">
        <v>2019</v>
      </c>
    </row>
    <row r="184" spans="1:17" ht="30">
      <c r="A184" s="258">
        <v>172</v>
      </c>
      <c r="B184" s="243" t="s">
        <v>1078</v>
      </c>
      <c r="C184" s="248" t="s">
        <v>1079</v>
      </c>
      <c r="D184" s="339">
        <v>0.16500000000000001</v>
      </c>
      <c r="E184" s="340"/>
      <c r="F184" s="245"/>
      <c r="G184" s="246"/>
      <c r="H184" s="340">
        <v>0</v>
      </c>
      <c r="I184" s="245">
        <f t="shared" si="24"/>
        <v>0</v>
      </c>
      <c r="J184" s="247">
        <v>0</v>
      </c>
      <c r="K184" s="245">
        <f t="shared" si="21"/>
        <v>0</v>
      </c>
      <c r="L184" s="262">
        <f t="shared" si="18"/>
        <v>0</v>
      </c>
      <c r="M184" s="245">
        <f t="shared" si="19"/>
        <v>0</v>
      </c>
      <c r="N184" s="247">
        <v>0</v>
      </c>
      <c r="O184" s="245">
        <f t="shared" si="22"/>
        <v>0</v>
      </c>
      <c r="P184" s="433" t="s">
        <v>1488</v>
      </c>
      <c r="Q184" s="433">
        <v>2019</v>
      </c>
    </row>
    <row r="185" spans="1:17" ht="30">
      <c r="A185" s="258">
        <v>173</v>
      </c>
      <c r="B185" s="243" t="s">
        <v>1081</v>
      </c>
      <c r="C185" s="248" t="s">
        <v>1082</v>
      </c>
      <c r="D185" s="339">
        <v>7.4999999999999997E-2</v>
      </c>
      <c r="E185" s="340"/>
      <c r="F185" s="245"/>
      <c r="G185" s="246"/>
      <c r="H185" s="340">
        <v>0</v>
      </c>
      <c r="I185" s="245">
        <f t="shared" si="24"/>
        <v>0</v>
      </c>
      <c r="J185" s="247">
        <v>0</v>
      </c>
      <c r="K185" s="245">
        <f t="shared" si="21"/>
        <v>0</v>
      </c>
      <c r="L185" s="262">
        <f t="shared" si="18"/>
        <v>0</v>
      </c>
      <c r="M185" s="245">
        <f t="shared" si="19"/>
        <v>0</v>
      </c>
      <c r="N185" s="247">
        <v>0</v>
      </c>
      <c r="O185" s="245">
        <f t="shared" si="22"/>
        <v>0</v>
      </c>
      <c r="P185" s="433" t="s">
        <v>1488</v>
      </c>
      <c r="Q185" s="433">
        <v>2019</v>
      </c>
    </row>
    <row r="186" spans="1:17" ht="30">
      <c r="A186" s="258">
        <v>174</v>
      </c>
      <c r="B186" s="243" t="s">
        <v>1084</v>
      </c>
      <c r="C186" s="248" t="s">
        <v>1085</v>
      </c>
      <c r="D186" s="339">
        <v>0.36199999999999999</v>
      </c>
      <c r="E186" s="340"/>
      <c r="F186" s="245"/>
      <c r="G186" s="246"/>
      <c r="H186" s="340">
        <v>0</v>
      </c>
      <c r="I186" s="245">
        <f t="shared" si="24"/>
        <v>0</v>
      </c>
      <c r="J186" s="247">
        <v>0</v>
      </c>
      <c r="K186" s="245">
        <f t="shared" si="21"/>
        <v>0</v>
      </c>
      <c r="L186" s="262">
        <f t="shared" si="18"/>
        <v>0</v>
      </c>
      <c r="M186" s="245">
        <f t="shared" si="19"/>
        <v>0</v>
      </c>
      <c r="N186" s="247">
        <v>0</v>
      </c>
      <c r="O186" s="245">
        <f t="shared" si="22"/>
        <v>0</v>
      </c>
      <c r="P186" s="433" t="s">
        <v>1488</v>
      </c>
      <c r="Q186" s="433">
        <v>2019</v>
      </c>
    </row>
    <row r="187" spans="1:17" ht="30">
      <c r="A187" s="258">
        <v>175</v>
      </c>
      <c r="B187" s="243" t="s">
        <v>1087</v>
      </c>
      <c r="C187" s="248" t="s">
        <v>1088</v>
      </c>
      <c r="D187" s="339">
        <v>0.86299999999999999</v>
      </c>
      <c r="E187" s="340"/>
      <c r="F187" s="245"/>
      <c r="G187" s="246"/>
      <c r="H187" s="340">
        <v>0</v>
      </c>
      <c r="I187" s="245">
        <f t="shared" si="24"/>
        <v>0</v>
      </c>
      <c r="J187" s="247">
        <v>0</v>
      </c>
      <c r="K187" s="245">
        <f t="shared" si="21"/>
        <v>0</v>
      </c>
      <c r="L187" s="262">
        <f t="shared" si="18"/>
        <v>0</v>
      </c>
      <c r="M187" s="245">
        <f t="shared" si="19"/>
        <v>0</v>
      </c>
      <c r="N187" s="247">
        <v>0</v>
      </c>
      <c r="O187" s="245">
        <f t="shared" si="22"/>
        <v>0</v>
      </c>
      <c r="P187" s="433" t="s">
        <v>1488</v>
      </c>
      <c r="Q187" s="433">
        <v>2019</v>
      </c>
    </row>
    <row r="188" spans="1:17" ht="30">
      <c r="A188" s="258">
        <v>176</v>
      </c>
      <c r="B188" s="243" t="s">
        <v>1090</v>
      </c>
      <c r="C188" s="248" t="s">
        <v>1091</v>
      </c>
      <c r="D188" s="339">
        <v>0.1</v>
      </c>
      <c r="E188" s="340"/>
      <c r="F188" s="245"/>
      <c r="G188" s="246"/>
      <c r="H188" s="340">
        <v>0</v>
      </c>
      <c r="I188" s="245">
        <f t="shared" si="24"/>
        <v>0</v>
      </c>
      <c r="J188" s="247">
        <v>0</v>
      </c>
      <c r="K188" s="245">
        <f t="shared" si="21"/>
        <v>0</v>
      </c>
      <c r="L188" s="262">
        <f t="shared" si="18"/>
        <v>0</v>
      </c>
      <c r="M188" s="245">
        <f t="shared" si="19"/>
        <v>0</v>
      </c>
      <c r="N188" s="247">
        <v>0</v>
      </c>
      <c r="O188" s="245">
        <f t="shared" si="22"/>
        <v>0</v>
      </c>
      <c r="P188" s="433" t="s">
        <v>1488</v>
      </c>
      <c r="Q188" s="433">
        <v>2019</v>
      </c>
    </row>
    <row r="189" spans="1:17">
      <c r="A189" s="258">
        <v>177</v>
      </c>
      <c r="B189" s="243" t="s">
        <v>1093</v>
      </c>
      <c r="C189" s="248" t="s">
        <v>1094</v>
      </c>
      <c r="D189" s="339">
        <v>5.8719999999999999</v>
      </c>
      <c r="E189" s="340"/>
      <c r="F189" s="245"/>
      <c r="G189" s="246"/>
      <c r="H189" s="340">
        <v>0</v>
      </c>
      <c r="I189" s="245">
        <f t="shared" si="24"/>
        <v>0</v>
      </c>
      <c r="J189" s="247">
        <v>0</v>
      </c>
      <c r="K189" s="245">
        <f t="shared" si="21"/>
        <v>0</v>
      </c>
      <c r="L189" s="262">
        <f t="shared" si="18"/>
        <v>0</v>
      </c>
      <c r="M189" s="245">
        <f t="shared" si="19"/>
        <v>0</v>
      </c>
      <c r="N189" s="247">
        <v>0</v>
      </c>
      <c r="O189" s="245">
        <f t="shared" si="22"/>
        <v>0</v>
      </c>
      <c r="P189" s="433" t="s">
        <v>1488</v>
      </c>
      <c r="Q189" s="433">
        <v>2019</v>
      </c>
    </row>
    <row r="190" spans="1:17">
      <c r="A190" s="258">
        <v>178</v>
      </c>
      <c r="B190" s="243" t="s">
        <v>1096</v>
      </c>
      <c r="C190" s="248" t="s">
        <v>1097</v>
      </c>
      <c r="D190" s="339">
        <v>5.8</v>
      </c>
      <c r="E190" s="340"/>
      <c r="F190" s="245"/>
      <c r="G190" s="246"/>
      <c r="H190" s="340">
        <v>0</v>
      </c>
      <c r="I190" s="245">
        <f t="shared" si="24"/>
        <v>0</v>
      </c>
      <c r="J190" s="247">
        <v>0</v>
      </c>
      <c r="K190" s="245">
        <f t="shared" si="21"/>
        <v>0</v>
      </c>
      <c r="L190" s="262">
        <f t="shared" ref="L190:L253" si="25">J190</f>
        <v>0</v>
      </c>
      <c r="M190" s="245">
        <f t="shared" si="19"/>
        <v>0</v>
      </c>
      <c r="N190" s="247">
        <v>0</v>
      </c>
      <c r="O190" s="245">
        <f t="shared" si="22"/>
        <v>0</v>
      </c>
      <c r="P190" s="433" t="s">
        <v>1488</v>
      </c>
      <c r="Q190" s="433">
        <v>2019</v>
      </c>
    </row>
    <row r="191" spans="1:17" ht="45">
      <c r="A191" s="258">
        <v>179</v>
      </c>
      <c r="B191" s="243" t="s">
        <v>1099</v>
      </c>
      <c r="C191" s="248" t="s">
        <v>1100</v>
      </c>
      <c r="D191" s="339">
        <v>18.251000000000001</v>
      </c>
      <c r="E191" s="340"/>
      <c r="F191" s="245"/>
      <c r="G191" s="246"/>
      <c r="H191" s="340">
        <v>0</v>
      </c>
      <c r="I191" s="245">
        <f t="shared" si="24"/>
        <v>0</v>
      </c>
      <c r="J191" s="247">
        <v>0</v>
      </c>
      <c r="K191" s="245">
        <f t="shared" si="21"/>
        <v>0</v>
      </c>
      <c r="L191" s="262">
        <f t="shared" si="25"/>
        <v>0</v>
      </c>
      <c r="M191" s="245">
        <f t="shared" si="19"/>
        <v>0</v>
      </c>
      <c r="N191" s="247">
        <v>0</v>
      </c>
      <c r="O191" s="245">
        <f t="shared" si="22"/>
        <v>0</v>
      </c>
      <c r="P191" s="433" t="s">
        <v>1488</v>
      </c>
      <c r="Q191" s="433">
        <v>2019</v>
      </c>
    </row>
    <row r="192" spans="1:17" ht="45">
      <c r="A192" s="258">
        <v>180</v>
      </c>
      <c r="B192" s="243" t="s">
        <v>1102</v>
      </c>
      <c r="C192" s="248" t="s">
        <v>1103</v>
      </c>
      <c r="D192" s="339">
        <v>1.4630000000000001</v>
      </c>
      <c r="E192" s="340"/>
      <c r="F192" s="245"/>
      <c r="G192" s="246"/>
      <c r="H192" s="340">
        <v>0</v>
      </c>
      <c r="I192" s="245">
        <f t="shared" si="24"/>
        <v>0</v>
      </c>
      <c r="J192" s="247">
        <v>0</v>
      </c>
      <c r="K192" s="245">
        <f t="shared" si="21"/>
        <v>0</v>
      </c>
      <c r="L192" s="262">
        <f t="shared" si="25"/>
        <v>0</v>
      </c>
      <c r="M192" s="245">
        <f t="shared" si="19"/>
        <v>0</v>
      </c>
      <c r="N192" s="247">
        <v>0</v>
      </c>
      <c r="O192" s="245">
        <f t="shared" si="22"/>
        <v>0</v>
      </c>
      <c r="P192" s="433" t="s">
        <v>1488</v>
      </c>
      <c r="Q192" s="433">
        <v>2019</v>
      </c>
    </row>
    <row r="193" spans="1:17" ht="45">
      <c r="A193" s="258">
        <v>181</v>
      </c>
      <c r="B193" s="243" t="s">
        <v>1105</v>
      </c>
      <c r="C193" s="248" t="s">
        <v>1106</v>
      </c>
      <c r="D193" s="339">
        <v>3.7450000000000001</v>
      </c>
      <c r="E193" s="340"/>
      <c r="F193" s="245"/>
      <c r="G193" s="246"/>
      <c r="H193" s="340">
        <v>0</v>
      </c>
      <c r="I193" s="245">
        <f t="shared" si="24"/>
        <v>0</v>
      </c>
      <c r="J193" s="247">
        <v>0</v>
      </c>
      <c r="K193" s="245">
        <f t="shared" si="21"/>
        <v>0</v>
      </c>
      <c r="L193" s="262">
        <f t="shared" si="25"/>
        <v>0</v>
      </c>
      <c r="M193" s="245">
        <f t="shared" si="19"/>
        <v>0</v>
      </c>
      <c r="N193" s="247">
        <v>0</v>
      </c>
      <c r="O193" s="245">
        <f t="shared" si="22"/>
        <v>0</v>
      </c>
      <c r="P193" s="433" t="s">
        <v>1488</v>
      </c>
      <c r="Q193" s="433">
        <v>2019</v>
      </c>
    </row>
    <row r="194" spans="1:17" ht="30">
      <c r="A194" s="258">
        <v>182</v>
      </c>
      <c r="B194" s="243" t="s">
        <v>1108</v>
      </c>
      <c r="C194" s="248" t="s">
        <v>1109</v>
      </c>
      <c r="D194" s="339">
        <v>2.5630000000000002</v>
      </c>
      <c r="E194" s="340"/>
      <c r="F194" s="245"/>
      <c r="G194" s="246"/>
      <c r="H194" s="340">
        <v>0</v>
      </c>
      <c r="I194" s="245">
        <f t="shared" si="24"/>
        <v>0</v>
      </c>
      <c r="J194" s="247">
        <v>0</v>
      </c>
      <c r="K194" s="245">
        <f t="shared" si="21"/>
        <v>0</v>
      </c>
      <c r="L194" s="262">
        <f t="shared" si="25"/>
        <v>0</v>
      </c>
      <c r="M194" s="245">
        <f t="shared" si="19"/>
        <v>0</v>
      </c>
      <c r="N194" s="247">
        <v>0</v>
      </c>
      <c r="O194" s="245">
        <f t="shared" si="22"/>
        <v>0</v>
      </c>
      <c r="P194" s="433" t="s">
        <v>1488</v>
      </c>
      <c r="Q194" s="433">
        <v>2019</v>
      </c>
    </row>
    <row r="195" spans="1:17">
      <c r="A195" s="258">
        <v>183</v>
      </c>
      <c r="B195" s="243" t="s">
        <v>1111</v>
      </c>
      <c r="C195" s="248" t="s">
        <v>1112</v>
      </c>
      <c r="D195" s="339">
        <v>17.079999999999998</v>
      </c>
      <c r="E195" s="340"/>
      <c r="F195" s="245"/>
      <c r="G195" s="246"/>
      <c r="H195" s="340">
        <v>0</v>
      </c>
      <c r="I195" s="245">
        <f t="shared" si="24"/>
        <v>0</v>
      </c>
      <c r="J195" s="247">
        <v>0</v>
      </c>
      <c r="K195" s="245">
        <f t="shared" si="21"/>
        <v>0</v>
      </c>
      <c r="L195" s="262">
        <f t="shared" si="25"/>
        <v>0</v>
      </c>
      <c r="M195" s="245">
        <f t="shared" si="19"/>
        <v>0</v>
      </c>
      <c r="N195" s="247">
        <v>0</v>
      </c>
      <c r="O195" s="245">
        <f t="shared" si="22"/>
        <v>0</v>
      </c>
      <c r="P195" s="433" t="s">
        <v>1488</v>
      </c>
      <c r="Q195" s="433">
        <v>2019</v>
      </c>
    </row>
    <row r="196" spans="1:17" ht="30">
      <c r="A196" s="258">
        <v>184</v>
      </c>
      <c r="B196" s="243" t="s">
        <v>1114</v>
      </c>
      <c r="C196" s="248" t="s">
        <v>1115</v>
      </c>
      <c r="D196" s="339">
        <v>0.74</v>
      </c>
      <c r="E196" s="340"/>
      <c r="F196" s="245"/>
      <c r="G196" s="246"/>
      <c r="H196" s="340">
        <v>0</v>
      </c>
      <c r="I196" s="245">
        <f t="shared" si="24"/>
        <v>0</v>
      </c>
      <c r="J196" s="247">
        <v>0</v>
      </c>
      <c r="K196" s="245">
        <f t="shared" si="21"/>
        <v>0</v>
      </c>
      <c r="L196" s="262">
        <f t="shared" si="25"/>
        <v>0</v>
      </c>
      <c r="M196" s="245">
        <f t="shared" si="19"/>
        <v>0</v>
      </c>
      <c r="N196" s="247">
        <v>0</v>
      </c>
      <c r="O196" s="245">
        <f t="shared" si="22"/>
        <v>0</v>
      </c>
      <c r="P196" s="433" t="s">
        <v>1488</v>
      </c>
      <c r="Q196" s="433">
        <v>2019</v>
      </c>
    </row>
    <row r="197" spans="1:17">
      <c r="A197" s="258">
        <v>185</v>
      </c>
      <c r="B197" s="243" t="s">
        <v>1117</v>
      </c>
      <c r="C197" s="248" t="s">
        <v>1118</v>
      </c>
      <c r="D197" s="339">
        <v>0.76</v>
      </c>
      <c r="E197" s="340"/>
      <c r="F197" s="245"/>
      <c r="G197" s="246"/>
      <c r="H197" s="340">
        <v>0</v>
      </c>
      <c r="I197" s="245">
        <f t="shared" si="24"/>
        <v>0</v>
      </c>
      <c r="J197" s="247">
        <v>0</v>
      </c>
      <c r="K197" s="245">
        <f t="shared" si="21"/>
        <v>0</v>
      </c>
      <c r="L197" s="262">
        <f t="shared" si="25"/>
        <v>0</v>
      </c>
      <c r="M197" s="245">
        <f t="shared" si="19"/>
        <v>0</v>
      </c>
      <c r="N197" s="247">
        <v>0</v>
      </c>
      <c r="O197" s="245">
        <f t="shared" si="22"/>
        <v>0</v>
      </c>
      <c r="P197" s="433" t="s">
        <v>1488</v>
      </c>
      <c r="Q197" s="433">
        <v>2019</v>
      </c>
    </row>
    <row r="198" spans="1:17" ht="45">
      <c r="A198" s="258">
        <v>186</v>
      </c>
      <c r="B198" s="243" t="s">
        <v>1120</v>
      </c>
      <c r="C198" s="248" t="s">
        <v>1121</v>
      </c>
      <c r="D198" s="339">
        <v>15.29</v>
      </c>
      <c r="E198" s="340"/>
      <c r="F198" s="245"/>
      <c r="G198" s="246"/>
      <c r="H198" s="340">
        <v>0</v>
      </c>
      <c r="I198" s="245">
        <f t="shared" si="24"/>
        <v>0</v>
      </c>
      <c r="J198" s="247">
        <v>0</v>
      </c>
      <c r="K198" s="245">
        <f t="shared" si="21"/>
        <v>0</v>
      </c>
      <c r="L198" s="262">
        <f t="shared" si="25"/>
        <v>0</v>
      </c>
      <c r="M198" s="245">
        <f t="shared" si="19"/>
        <v>0</v>
      </c>
      <c r="N198" s="247">
        <v>0</v>
      </c>
      <c r="O198" s="245">
        <f t="shared" si="22"/>
        <v>0</v>
      </c>
      <c r="P198" s="433" t="s">
        <v>1488</v>
      </c>
      <c r="Q198" s="433">
        <v>2019</v>
      </c>
    </row>
    <row r="199" spans="1:17" ht="45">
      <c r="A199" s="258">
        <v>187</v>
      </c>
      <c r="B199" s="243" t="s">
        <v>1123</v>
      </c>
      <c r="C199" s="248" t="s">
        <v>1124</v>
      </c>
      <c r="D199" s="339">
        <v>0.46</v>
      </c>
      <c r="E199" s="340"/>
      <c r="F199" s="245"/>
      <c r="G199" s="246"/>
      <c r="H199" s="340">
        <v>0</v>
      </c>
      <c r="I199" s="245">
        <f t="shared" si="24"/>
        <v>0</v>
      </c>
      <c r="J199" s="247">
        <v>0</v>
      </c>
      <c r="K199" s="245">
        <f t="shared" si="21"/>
        <v>0</v>
      </c>
      <c r="L199" s="262">
        <f t="shared" si="25"/>
        <v>0</v>
      </c>
      <c r="M199" s="245">
        <f t="shared" si="19"/>
        <v>0</v>
      </c>
      <c r="N199" s="247">
        <v>0</v>
      </c>
      <c r="O199" s="245">
        <f t="shared" si="22"/>
        <v>0</v>
      </c>
      <c r="P199" s="433" t="s">
        <v>1488</v>
      </c>
      <c r="Q199" s="433">
        <v>2019</v>
      </c>
    </row>
    <row r="200" spans="1:17" ht="60">
      <c r="A200" s="258">
        <v>188</v>
      </c>
      <c r="B200" s="243" t="s">
        <v>1126</v>
      </c>
      <c r="C200" s="248" t="s">
        <v>1127</v>
      </c>
      <c r="D200" s="339">
        <v>0.92</v>
      </c>
      <c r="E200" s="340"/>
      <c r="F200" s="245"/>
      <c r="G200" s="246"/>
      <c r="H200" s="340">
        <v>0</v>
      </c>
      <c r="I200" s="245">
        <f t="shared" si="24"/>
        <v>0</v>
      </c>
      <c r="J200" s="247">
        <v>0</v>
      </c>
      <c r="K200" s="245">
        <f t="shared" si="21"/>
        <v>0</v>
      </c>
      <c r="L200" s="262">
        <f t="shared" si="25"/>
        <v>0</v>
      </c>
      <c r="M200" s="245">
        <f t="shared" si="19"/>
        <v>0</v>
      </c>
      <c r="N200" s="247">
        <v>0</v>
      </c>
      <c r="O200" s="245">
        <f t="shared" si="22"/>
        <v>0</v>
      </c>
      <c r="P200" s="433" t="s">
        <v>1488</v>
      </c>
      <c r="Q200" s="433">
        <v>2019</v>
      </c>
    </row>
    <row r="201" spans="1:17" ht="75">
      <c r="A201" s="258">
        <v>189</v>
      </c>
      <c r="B201" s="243" t="s">
        <v>1129</v>
      </c>
      <c r="C201" s="248" t="s">
        <v>1130</v>
      </c>
      <c r="D201" s="339">
        <v>1.4</v>
      </c>
      <c r="E201" s="340"/>
      <c r="F201" s="245"/>
      <c r="G201" s="246"/>
      <c r="H201" s="340">
        <v>0</v>
      </c>
      <c r="I201" s="245">
        <f t="shared" si="24"/>
        <v>0</v>
      </c>
      <c r="J201" s="247">
        <v>0</v>
      </c>
      <c r="K201" s="245">
        <f t="shared" si="21"/>
        <v>0</v>
      </c>
      <c r="L201" s="262">
        <f t="shared" si="25"/>
        <v>0</v>
      </c>
      <c r="M201" s="245">
        <f t="shared" ref="M201:M264" si="26">L201/D201</f>
        <v>0</v>
      </c>
      <c r="N201" s="247">
        <v>0</v>
      </c>
      <c r="O201" s="245">
        <f t="shared" si="22"/>
        <v>0</v>
      </c>
      <c r="P201" s="433" t="s">
        <v>1488</v>
      </c>
      <c r="Q201" s="433">
        <v>2019</v>
      </c>
    </row>
    <row r="202" spans="1:17" ht="75">
      <c r="A202" s="258">
        <v>190</v>
      </c>
      <c r="B202" s="243" t="s">
        <v>1132</v>
      </c>
      <c r="C202" s="248" t="s">
        <v>1133</v>
      </c>
      <c r="D202" s="339">
        <v>16.45</v>
      </c>
      <c r="E202" s="340"/>
      <c r="F202" s="245"/>
      <c r="G202" s="246"/>
      <c r="H202" s="340">
        <v>0</v>
      </c>
      <c r="I202" s="245">
        <f t="shared" si="24"/>
        <v>0</v>
      </c>
      <c r="J202" s="247">
        <v>0</v>
      </c>
      <c r="K202" s="245">
        <f t="shared" ref="K202:K265" si="27">J202/D202</f>
        <v>0</v>
      </c>
      <c r="L202" s="262">
        <f t="shared" si="25"/>
        <v>0</v>
      </c>
      <c r="M202" s="245">
        <f t="shared" si="26"/>
        <v>0</v>
      </c>
      <c r="N202" s="247">
        <v>0</v>
      </c>
      <c r="O202" s="245">
        <f t="shared" ref="O202:O265" si="28">N202/D202</f>
        <v>0</v>
      </c>
      <c r="P202" s="433" t="s">
        <v>1488</v>
      </c>
      <c r="Q202" s="433">
        <v>2019</v>
      </c>
    </row>
    <row r="203" spans="1:17" ht="75">
      <c r="A203" s="258">
        <v>191</v>
      </c>
      <c r="B203" s="243" t="s">
        <v>1135</v>
      </c>
      <c r="C203" s="248" t="s">
        <v>1136</v>
      </c>
      <c r="D203" s="339">
        <v>1.52</v>
      </c>
      <c r="E203" s="340"/>
      <c r="F203" s="245"/>
      <c r="G203" s="246"/>
      <c r="H203" s="340">
        <v>0</v>
      </c>
      <c r="I203" s="245">
        <f t="shared" si="24"/>
        <v>0</v>
      </c>
      <c r="J203" s="247">
        <v>0</v>
      </c>
      <c r="K203" s="245">
        <f t="shared" si="27"/>
        <v>0</v>
      </c>
      <c r="L203" s="262">
        <f t="shared" si="25"/>
        <v>0</v>
      </c>
      <c r="M203" s="245">
        <f t="shared" si="26"/>
        <v>0</v>
      </c>
      <c r="N203" s="247">
        <v>0</v>
      </c>
      <c r="O203" s="245">
        <f t="shared" si="28"/>
        <v>0</v>
      </c>
      <c r="P203" s="433" t="s">
        <v>1488</v>
      </c>
      <c r="Q203" s="433">
        <v>2019</v>
      </c>
    </row>
    <row r="204" spans="1:17" ht="30">
      <c r="A204" s="258">
        <v>192</v>
      </c>
      <c r="B204" s="243" t="s">
        <v>1138</v>
      </c>
      <c r="C204" s="248" t="s">
        <v>1139</v>
      </c>
      <c r="D204" s="339">
        <v>0.14000000000000001</v>
      </c>
      <c r="E204" s="340"/>
      <c r="F204" s="245"/>
      <c r="G204" s="246"/>
      <c r="H204" s="340">
        <v>0</v>
      </c>
      <c r="I204" s="245">
        <f t="shared" si="24"/>
        <v>0</v>
      </c>
      <c r="J204" s="247">
        <v>0</v>
      </c>
      <c r="K204" s="245">
        <f t="shared" si="27"/>
        <v>0</v>
      </c>
      <c r="L204" s="262">
        <f t="shared" si="25"/>
        <v>0</v>
      </c>
      <c r="M204" s="245">
        <f t="shared" si="26"/>
        <v>0</v>
      </c>
      <c r="N204" s="247">
        <v>0</v>
      </c>
      <c r="O204" s="245">
        <f t="shared" si="28"/>
        <v>0</v>
      </c>
      <c r="P204" s="433" t="s">
        <v>1488</v>
      </c>
      <c r="Q204" s="433">
        <v>2019</v>
      </c>
    </row>
    <row r="205" spans="1:17">
      <c r="A205" s="258">
        <v>193</v>
      </c>
      <c r="B205" s="435"/>
      <c r="C205" s="248" t="s">
        <v>906</v>
      </c>
      <c r="D205" s="339">
        <v>17</v>
      </c>
      <c r="E205" s="340"/>
      <c r="F205" s="245"/>
      <c r="G205" s="246"/>
      <c r="H205" s="340">
        <v>0</v>
      </c>
      <c r="I205" s="245">
        <f t="shared" si="24"/>
        <v>0</v>
      </c>
      <c r="J205" s="247">
        <v>0</v>
      </c>
      <c r="K205" s="245">
        <f t="shared" si="27"/>
        <v>0</v>
      </c>
      <c r="L205" s="262">
        <f t="shared" si="25"/>
        <v>0</v>
      </c>
      <c r="M205" s="245">
        <f t="shared" si="26"/>
        <v>0</v>
      </c>
      <c r="N205" s="247">
        <v>0</v>
      </c>
      <c r="O205" s="245">
        <f t="shared" si="28"/>
        <v>0</v>
      </c>
      <c r="P205" s="433" t="s">
        <v>1488</v>
      </c>
      <c r="Q205" s="433">
        <v>2019</v>
      </c>
    </row>
    <row r="206" spans="1:17" ht="30">
      <c r="A206" s="258">
        <v>194</v>
      </c>
      <c r="B206" s="243" t="s">
        <v>1141</v>
      </c>
      <c r="C206" s="248" t="s">
        <v>1142</v>
      </c>
      <c r="D206" s="339">
        <v>19.239999999999998</v>
      </c>
      <c r="E206" s="340"/>
      <c r="F206" s="245"/>
      <c r="G206" s="246"/>
      <c r="H206" s="340">
        <v>0</v>
      </c>
      <c r="I206" s="245">
        <f t="shared" si="24"/>
        <v>0</v>
      </c>
      <c r="J206" s="247">
        <v>0</v>
      </c>
      <c r="K206" s="245">
        <f t="shared" si="27"/>
        <v>0</v>
      </c>
      <c r="L206" s="262">
        <f t="shared" si="25"/>
        <v>0</v>
      </c>
      <c r="M206" s="245">
        <f t="shared" si="26"/>
        <v>0</v>
      </c>
      <c r="N206" s="247">
        <v>0</v>
      </c>
      <c r="O206" s="245">
        <f t="shared" si="28"/>
        <v>0</v>
      </c>
      <c r="P206" s="433" t="s">
        <v>1488</v>
      </c>
      <c r="Q206" s="433">
        <v>2019</v>
      </c>
    </row>
    <row r="207" spans="1:17" ht="30">
      <c r="A207" s="258">
        <v>195</v>
      </c>
      <c r="B207" s="243" t="s">
        <v>1144</v>
      </c>
      <c r="C207" s="248" t="s">
        <v>1145</v>
      </c>
      <c r="D207" s="339">
        <v>6.98</v>
      </c>
      <c r="E207" s="340"/>
      <c r="F207" s="245"/>
      <c r="G207" s="246"/>
      <c r="H207" s="340">
        <v>0</v>
      </c>
      <c r="I207" s="245">
        <f t="shared" si="24"/>
        <v>0</v>
      </c>
      <c r="J207" s="247">
        <v>0</v>
      </c>
      <c r="K207" s="245">
        <f t="shared" si="27"/>
        <v>0</v>
      </c>
      <c r="L207" s="262">
        <f t="shared" si="25"/>
        <v>0</v>
      </c>
      <c r="M207" s="245">
        <f t="shared" si="26"/>
        <v>0</v>
      </c>
      <c r="N207" s="247">
        <v>0</v>
      </c>
      <c r="O207" s="245">
        <f t="shared" si="28"/>
        <v>0</v>
      </c>
      <c r="P207" s="433" t="s">
        <v>1488</v>
      </c>
      <c r="Q207" s="433">
        <v>2019</v>
      </c>
    </row>
    <row r="208" spans="1:17" ht="30">
      <c r="A208" s="258">
        <v>196</v>
      </c>
      <c r="B208" s="243" t="s">
        <v>1147</v>
      </c>
      <c r="C208" s="248" t="s">
        <v>1148</v>
      </c>
      <c r="D208" s="339">
        <v>1.28</v>
      </c>
      <c r="E208" s="340"/>
      <c r="F208" s="245"/>
      <c r="G208" s="246"/>
      <c r="H208" s="340">
        <v>0</v>
      </c>
      <c r="I208" s="245">
        <f t="shared" si="24"/>
        <v>0</v>
      </c>
      <c r="J208" s="247">
        <v>0</v>
      </c>
      <c r="K208" s="245">
        <f t="shared" si="27"/>
        <v>0</v>
      </c>
      <c r="L208" s="262">
        <f t="shared" si="25"/>
        <v>0</v>
      </c>
      <c r="M208" s="245">
        <f t="shared" si="26"/>
        <v>0</v>
      </c>
      <c r="N208" s="247">
        <v>0</v>
      </c>
      <c r="O208" s="245">
        <f t="shared" si="28"/>
        <v>0</v>
      </c>
      <c r="P208" s="433" t="s">
        <v>1488</v>
      </c>
      <c r="Q208" s="433">
        <v>2019</v>
      </c>
    </row>
    <row r="209" spans="1:17">
      <c r="A209" s="258">
        <v>197</v>
      </c>
      <c r="B209" s="243" t="s">
        <v>1150</v>
      </c>
      <c r="C209" s="248" t="s">
        <v>1151</v>
      </c>
      <c r="D209" s="339">
        <v>0.42</v>
      </c>
      <c r="E209" s="340"/>
      <c r="F209" s="245"/>
      <c r="G209" s="246"/>
      <c r="H209" s="340">
        <v>0</v>
      </c>
      <c r="I209" s="245">
        <f t="shared" si="24"/>
        <v>0</v>
      </c>
      <c r="J209" s="247">
        <v>0</v>
      </c>
      <c r="K209" s="245">
        <f t="shared" si="27"/>
        <v>0</v>
      </c>
      <c r="L209" s="262">
        <f t="shared" si="25"/>
        <v>0</v>
      </c>
      <c r="M209" s="245">
        <f t="shared" si="26"/>
        <v>0</v>
      </c>
      <c r="N209" s="247">
        <v>0</v>
      </c>
      <c r="O209" s="245">
        <f t="shared" si="28"/>
        <v>0</v>
      </c>
      <c r="P209" s="433" t="s">
        <v>1488</v>
      </c>
      <c r="Q209" s="433">
        <v>2019</v>
      </c>
    </row>
    <row r="210" spans="1:17" ht="45">
      <c r="A210" s="258">
        <v>198</v>
      </c>
      <c r="B210" s="243" t="s">
        <v>1153</v>
      </c>
      <c r="C210" s="248" t="s">
        <v>1154</v>
      </c>
      <c r="D210" s="339">
        <v>13.02</v>
      </c>
      <c r="E210" s="340"/>
      <c r="F210" s="245"/>
      <c r="G210" s="246"/>
      <c r="H210" s="340">
        <v>0</v>
      </c>
      <c r="I210" s="245">
        <f t="shared" si="24"/>
        <v>0</v>
      </c>
      <c r="J210" s="247">
        <v>0</v>
      </c>
      <c r="K210" s="245">
        <f t="shared" si="27"/>
        <v>0</v>
      </c>
      <c r="L210" s="262">
        <f t="shared" si="25"/>
        <v>0</v>
      </c>
      <c r="M210" s="245">
        <f t="shared" si="26"/>
        <v>0</v>
      </c>
      <c r="N210" s="247">
        <v>0</v>
      </c>
      <c r="O210" s="245">
        <f t="shared" si="28"/>
        <v>0</v>
      </c>
      <c r="P210" s="433" t="s">
        <v>1488</v>
      </c>
      <c r="Q210" s="433">
        <v>2019</v>
      </c>
    </row>
    <row r="211" spans="1:17" ht="45">
      <c r="A211" s="258">
        <v>199</v>
      </c>
      <c r="B211" s="243" t="s">
        <v>1156</v>
      </c>
      <c r="C211" s="248" t="s">
        <v>1157</v>
      </c>
      <c r="D211" s="339">
        <v>17.5</v>
      </c>
      <c r="E211" s="340"/>
      <c r="F211" s="245"/>
      <c r="G211" s="246"/>
      <c r="H211" s="340">
        <v>0</v>
      </c>
      <c r="I211" s="245">
        <f t="shared" si="24"/>
        <v>0</v>
      </c>
      <c r="J211" s="247">
        <v>0</v>
      </c>
      <c r="K211" s="245">
        <f t="shared" si="27"/>
        <v>0</v>
      </c>
      <c r="L211" s="262">
        <f t="shared" si="25"/>
        <v>0</v>
      </c>
      <c r="M211" s="245">
        <f t="shared" si="26"/>
        <v>0</v>
      </c>
      <c r="N211" s="247">
        <v>0</v>
      </c>
      <c r="O211" s="245">
        <f t="shared" si="28"/>
        <v>0</v>
      </c>
      <c r="P211" s="433" t="s">
        <v>1488</v>
      </c>
      <c r="Q211" s="433">
        <v>2019</v>
      </c>
    </row>
    <row r="212" spans="1:17" ht="45">
      <c r="A212" s="258">
        <v>200</v>
      </c>
      <c r="B212" s="243" t="s">
        <v>1159</v>
      </c>
      <c r="C212" s="248" t="s">
        <v>1160</v>
      </c>
      <c r="D212" s="339">
        <v>11.53</v>
      </c>
      <c r="E212" s="340"/>
      <c r="F212" s="245"/>
      <c r="G212" s="246"/>
      <c r="H212" s="340">
        <v>0</v>
      </c>
      <c r="I212" s="245">
        <f t="shared" si="24"/>
        <v>0</v>
      </c>
      <c r="J212" s="247">
        <v>0</v>
      </c>
      <c r="K212" s="245">
        <f t="shared" si="27"/>
        <v>0</v>
      </c>
      <c r="L212" s="262">
        <f t="shared" si="25"/>
        <v>0</v>
      </c>
      <c r="M212" s="245">
        <f t="shared" si="26"/>
        <v>0</v>
      </c>
      <c r="N212" s="247">
        <v>0</v>
      </c>
      <c r="O212" s="245">
        <f t="shared" si="28"/>
        <v>0</v>
      </c>
      <c r="P212" s="433" t="s">
        <v>1488</v>
      </c>
      <c r="Q212" s="433">
        <v>2019</v>
      </c>
    </row>
    <row r="213" spans="1:17" ht="45">
      <c r="A213" s="258">
        <v>202</v>
      </c>
      <c r="B213" s="243" t="s">
        <v>851</v>
      </c>
      <c r="C213" s="248" t="s">
        <v>1162</v>
      </c>
      <c r="D213" s="339">
        <v>6.95</v>
      </c>
      <c r="E213" s="340"/>
      <c r="F213" s="245"/>
      <c r="G213" s="246"/>
      <c r="H213" s="340">
        <v>0</v>
      </c>
      <c r="I213" s="245">
        <f t="shared" si="24"/>
        <v>0</v>
      </c>
      <c r="J213" s="247">
        <v>0</v>
      </c>
      <c r="K213" s="245">
        <f t="shared" si="27"/>
        <v>0</v>
      </c>
      <c r="L213" s="262">
        <f t="shared" si="25"/>
        <v>0</v>
      </c>
      <c r="M213" s="245">
        <f t="shared" si="26"/>
        <v>0</v>
      </c>
      <c r="N213" s="247">
        <v>0</v>
      </c>
      <c r="O213" s="245">
        <f t="shared" si="28"/>
        <v>0</v>
      </c>
      <c r="P213" s="433" t="s">
        <v>1488</v>
      </c>
      <c r="Q213" s="433">
        <v>2019</v>
      </c>
    </row>
    <row r="214" spans="1:17">
      <c r="A214" s="258">
        <v>203</v>
      </c>
      <c r="B214" s="243" t="s">
        <v>1163</v>
      </c>
      <c r="C214" s="248" t="s">
        <v>1164</v>
      </c>
      <c r="D214" s="339">
        <v>3.56</v>
      </c>
      <c r="E214" s="340"/>
      <c r="F214" s="245"/>
      <c r="G214" s="246"/>
      <c r="H214" s="340">
        <v>0</v>
      </c>
      <c r="I214" s="245">
        <f t="shared" si="24"/>
        <v>0</v>
      </c>
      <c r="J214" s="247">
        <v>0</v>
      </c>
      <c r="K214" s="245">
        <f t="shared" si="27"/>
        <v>0</v>
      </c>
      <c r="L214" s="262">
        <f t="shared" si="25"/>
        <v>0</v>
      </c>
      <c r="M214" s="245">
        <f t="shared" si="26"/>
        <v>0</v>
      </c>
      <c r="N214" s="247">
        <v>0</v>
      </c>
      <c r="O214" s="245">
        <f t="shared" si="28"/>
        <v>0</v>
      </c>
      <c r="P214" s="433" t="s">
        <v>1488</v>
      </c>
      <c r="Q214" s="433">
        <v>2019</v>
      </c>
    </row>
    <row r="215" spans="1:17">
      <c r="A215" s="258">
        <v>204</v>
      </c>
      <c r="B215" s="243" t="s">
        <v>1166</v>
      </c>
      <c r="C215" s="248" t="s">
        <v>1167</v>
      </c>
      <c r="D215" s="339">
        <v>11</v>
      </c>
      <c r="E215" s="340"/>
      <c r="F215" s="245"/>
      <c r="G215" s="246"/>
      <c r="H215" s="340">
        <v>0</v>
      </c>
      <c r="I215" s="245">
        <f t="shared" si="24"/>
        <v>0</v>
      </c>
      <c r="J215" s="247">
        <v>0</v>
      </c>
      <c r="K215" s="245">
        <f t="shared" si="27"/>
        <v>0</v>
      </c>
      <c r="L215" s="262">
        <f t="shared" si="25"/>
        <v>0</v>
      </c>
      <c r="M215" s="245">
        <f t="shared" si="26"/>
        <v>0</v>
      </c>
      <c r="N215" s="247">
        <v>0</v>
      </c>
      <c r="O215" s="245">
        <f t="shared" si="28"/>
        <v>0</v>
      </c>
      <c r="P215" s="433" t="s">
        <v>1488</v>
      </c>
      <c r="Q215" s="433">
        <v>2019</v>
      </c>
    </row>
    <row r="216" spans="1:17">
      <c r="A216" s="258">
        <v>205</v>
      </c>
      <c r="B216" s="243" t="s">
        <v>1169</v>
      </c>
      <c r="C216" s="248" t="s">
        <v>1170</v>
      </c>
      <c r="D216" s="339">
        <v>5.03</v>
      </c>
      <c r="E216" s="340"/>
      <c r="F216" s="245"/>
      <c r="G216" s="246"/>
      <c r="H216" s="340">
        <v>0</v>
      </c>
      <c r="I216" s="245">
        <f t="shared" si="24"/>
        <v>0</v>
      </c>
      <c r="J216" s="247">
        <v>0</v>
      </c>
      <c r="K216" s="245">
        <f t="shared" si="27"/>
        <v>0</v>
      </c>
      <c r="L216" s="262">
        <f t="shared" si="25"/>
        <v>0</v>
      </c>
      <c r="M216" s="245">
        <f t="shared" si="26"/>
        <v>0</v>
      </c>
      <c r="N216" s="247">
        <v>0</v>
      </c>
      <c r="O216" s="245">
        <f t="shared" si="28"/>
        <v>0</v>
      </c>
      <c r="P216" s="433" t="s">
        <v>1488</v>
      </c>
      <c r="Q216" s="433">
        <v>2019</v>
      </c>
    </row>
    <row r="217" spans="1:17">
      <c r="A217" s="258">
        <v>206</v>
      </c>
      <c r="B217" s="243" t="s">
        <v>1172</v>
      </c>
      <c r="C217" s="248" t="s">
        <v>1173</v>
      </c>
      <c r="D217" s="339">
        <v>6.9480000000000004</v>
      </c>
      <c r="E217" s="340"/>
      <c r="F217" s="245"/>
      <c r="G217" s="246"/>
      <c r="H217" s="340">
        <v>3</v>
      </c>
      <c r="I217" s="245">
        <f t="shared" si="24"/>
        <v>0.43177892918825561</v>
      </c>
      <c r="J217" s="247">
        <v>0</v>
      </c>
      <c r="K217" s="245">
        <f t="shared" si="27"/>
        <v>0</v>
      </c>
      <c r="L217" s="262">
        <f t="shared" si="25"/>
        <v>0</v>
      </c>
      <c r="M217" s="245">
        <f t="shared" si="26"/>
        <v>0</v>
      </c>
      <c r="N217" s="247">
        <v>0</v>
      </c>
      <c r="O217" s="245">
        <f t="shared" si="28"/>
        <v>0</v>
      </c>
      <c r="P217" s="433" t="s">
        <v>1488</v>
      </c>
      <c r="Q217" s="433">
        <v>2019</v>
      </c>
    </row>
    <row r="218" spans="1:17" ht="30">
      <c r="A218" s="258">
        <v>207</v>
      </c>
      <c r="B218" s="243" t="s">
        <v>1175</v>
      </c>
      <c r="C218" s="248" t="s">
        <v>1176</v>
      </c>
      <c r="D218" s="339">
        <v>6</v>
      </c>
      <c r="E218" s="340"/>
      <c r="F218" s="245"/>
      <c r="G218" s="246"/>
      <c r="H218" s="340">
        <v>0</v>
      </c>
      <c r="I218" s="245">
        <f t="shared" si="24"/>
        <v>0</v>
      </c>
      <c r="J218" s="247">
        <v>0</v>
      </c>
      <c r="K218" s="245">
        <f t="shared" si="27"/>
        <v>0</v>
      </c>
      <c r="L218" s="262">
        <f t="shared" si="25"/>
        <v>0</v>
      </c>
      <c r="M218" s="245">
        <f t="shared" si="26"/>
        <v>0</v>
      </c>
      <c r="N218" s="247">
        <v>0</v>
      </c>
      <c r="O218" s="245">
        <f t="shared" si="28"/>
        <v>0</v>
      </c>
      <c r="P218" s="433" t="s">
        <v>1488</v>
      </c>
      <c r="Q218" s="433">
        <v>2019</v>
      </c>
    </row>
    <row r="219" spans="1:17" ht="45">
      <c r="A219" s="258">
        <v>209</v>
      </c>
      <c r="B219" s="243" t="s">
        <v>1178</v>
      </c>
      <c r="C219" s="248" t="s">
        <v>1179</v>
      </c>
      <c r="D219" s="339">
        <v>10.56</v>
      </c>
      <c r="E219" s="340"/>
      <c r="F219" s="245"/>
      <c r="G219" s="246"/>
      <c r="H219" s="340">
        <v>0</v>
      </c>
      <c r="I219" s="245">
        <f t="shared" si="24"/>
        <v>0</v>
      </c>
      <c r="J219" s="247">
        <v>0</v>
      </c>
      <c r="K219" s="245">
        <f t="shared" si="27"/>
        <v>0</v>
      </c>
      <c r="L219" s="262">
        <f t="shared" si="25"/>
        <v>0</v>
      </c>
      <c r="M219" s="245">
        <f t="shared" si="26"/>
        <v>0</v>
      </c>
      <c r="N219" s="247">
        <v>0</v>
      </c>
      <c r="O219" s="245">
        <f t="shared" si="28"/>
        <v>0</v>
      </c>
      <c r="P219" s="433" t="s">
        <v>1488</v>
      </c>
      <c r="Q219" s="433">
        <v>2019</v>
      </c>
    </row>
    <row r="220" spans="1:17" ht="45">
      <c r="A220" s="258">
        <v>210</v>
      </c>
      <c r="B220" s="243" t="s">
        <v>1181</v>
      </c>
      <c r="C220" s="248" t="s">
        <v>1182</v>
      </c>
      <c r="D220" s="339">
        <v>8</v>
      </c>
      <c r="E220" s="340"/>
      <c r="F220" s="245"/>
      <c r="G220" s="246"/>
      <c r="H220" s="340">
        <v>0</v>
      </c>
      <c r="I220" s="245">
        <f t="shared" si="24"/>
        <v>0</v>
      </c>
      <c r="J220" s="247">
        <v>0</v>
      </c>
      <c r="K220" s="245">
        <f t="shared" si="27"/>
        <v>0</v>
      </c>
      <c r="L220" s="262">
        <f t="shared" si="25"/>
        <v>0</v>
      </c>
      <c r="M220" s="245">
        <f t="shared" si="26"/>
        <v>0</v>
      </c>
      <c r="N220" s="247">
        <v>0</v>
      </c>
      <c r="O220" s="245">
        <f t="shared" si="28"/>
        <v>0</v>
      </c>
      <c r="P220" s="433" t="s">
        <v>1488</v>
      </c>
      <c r="Q220" s="433">
        <v>2019</v>
      </c>
    </row>
    <row r="221" spans="1:17">
      <c r="A221" s="258">
        <v>211</v>
      </c>
      <c r="B221" s="435">
        <v>805875</v>
      </c>
      <c r="C221" s="248" t="s">
        <v>1505</v>
      </c>
      <c r="D221" s="339">
        <v>0.83599999999999997</v>
      </c>
      <c r="E221" s="340"/>
      <c r="F221" s="245"/>
      <c r="G221" s="246"/>
      <c r="H221" s="340">
        <v>0</v>
      </c>
      <c r="I221" s="245">
        <f t="shared" si="24"/>
        <v>0</v>
      </c>
      <c r="J221" s="247">
        <v>0</v>
      </c>
      <c r="K221" s="245">
        <f t="shared" si="27"/>
        <v>0</v>
      </c>
      <c r="L221" s="262">
        <f t="shared" si="25"/>
        <v>0</v>
      </c>
      <c r="M221" s="245">
        <f t="shared" si="26"/>
        <v>0</v>
      </c>
      <c r="N221" s="247">
        <v>0</v>
      </c>
      <c r="O221" s="245">
        <f t="shared" si="28"/>
        <v>0</v>
      </c>
      <c r="P221" s="433" t="s">
        <v>1488</v>
      </c>
      <c r="Q221" s="433">
        <v>2019</v>
      </c>
    </row>
    <row r="222" spans="1:17" ht="30">
      <c r="A222" s="258">
        <v>212</v>
      </c>
      <c r="B222" s="252" t="s">
        <v>1506</v>
      </c>
      <c r="C222" s="248" t="s">
        <v>1507</v>
      </c>
      <c r="D222" s="339">
        <v>5.0999999999999996</v>
      </c>
      <c r="E222" s="340"/>
      <c r="F222" s="245"/>
      <c r="G222" s="246"/>
      <c r="H222" s="340">
        <v>0</v>
      </c>
      <c r="I222" s="245">
        <v>0</v>
      </c>
      <c r="J222" s="247">
        <v>0</v>
      </c>
      <c r="K222" s="245">
        <f t="shared" si="27"/>
        <v>0</v>
      </c>
      <c r="L222" s="262">
        <f t="shared" si="25"/>
        <v>0</v>
      </c>
      <c r="M222" s="245">
        <f t="shared" si="26"/>
        <v>0</v>
      </c>
      <c r="N222" s="247">
        <v>0</v>
      </c>
      <c r="O222" s="245">
        <f t="shared" si="28"/>
        <v>0</v>
      </c>
      <c r="P222" s="433" t="s">
        <v>1488</v>
      </c>
      <c r="Q222" s="433">
        <v>2019</v>
      </c>
    </row>
    <row r="223" spans="1:17">
      <c r="A223" s="258">
        <v>213</v>
      </c>
      <c r="B223" s="252" t="s">
        <v>1508</v>
      </c>
      <c r="C223" s="248" t="s">
        <v>1509</v>
      </c>
      <c r="D223" s="339">
        <v>2.69</v>
      </c>
      <c r="E223" s="340"/>
      <c r="F223" s="245"/>
      <c r="G223" s="246"/>
      <c r="H223" s="340">
        <v>0</v>
      </c>
      <c r="I223" s="245">
        <f t="shared" si="24"/>
        <v>0</v>
      </c>
      <c r="J223" s="247">
        <v>0</v>
      </c>
      <c r="K223" s="245">
        <f t="shared" si="27"/>
        <v>0</v>
      </c>
      <c r="L223" s="262">
        <f t="shared" si="25"/>
        <v>0</v>
      </c>
      <c r="M223" s="245">
        <f t="shared" si="26"/>
        <v>0</v>
      </c>
      <c r="N223" s="247">
        <v>0</v>
      </c>
      <c r="O223" s="245">
        <f t="shared" si="28"/>
        <v>0</v>
      </c>
      <c r="P223" s="433" t="s">
        <v>1488</v>
      </c>
      <c r="Q223" s="433">
        <v>2019</v>
      </c>
    </row>
    <row r="224" spans="1:17" ht="30">
      <c r="A224" s="258">
        <v>214</v>
      </c>
      <c r="B224" s="243" t="s">
        <v>917</v>
      </c>
      <c r="C224" s="248" t="s">
        <v>918</v>
      </c>
      <c r="D224" s="339">
        <v>4.4000000000000004</v>
      </c>
      <c r="E224" s="340"/>
      <c r="F224" s="245"/>
      <c r="G224" s="246"/>
      <c r="H224" s="340">
        <v>0</v>
      </c>
      <c r="I224" s="245">
        <f t="shared" si="24"/>
        <v>0</v>
      </c>
      <c r="J224" s="247">
        <v>0</v>
      </c>
      <c r="K224" s="245">
        <f t="shared" si="27"/>
        <v>0</v>
      </c>
      <c r="L224" s="262">
        <f t="shared" si="25"/>
        <v>0</v>
      </c>
      <c r="M224" s="245">
        <f t="shared" si="26"/>
        <v>0</v>
      </c>
      <c r="N224" s="247">
        <v>0</v>
      </c>
      <c r="O224" s="245">
        <f t="shared" si="28"/>
        <v>0</v>
      </c>
      <c r="P224" s="433" t="s">
        <v>1488</v>
      </c>
      <c r="Q224" s="433">
        <v>2019</v>
      </c>
    </row>
    <row r="225" spans="1:17" ht="30">
      <c r="A225" s="258">
        <v>215</v>
      </c>
      <c r="B225" s="243" t="s">
        <v>920</v>
      </c>
      <c r="C225" s="248" t="s">
        <v>921</v>
      </c>
      <c r="D225" s="339">
        <v>1.2270000000000001</v>
      </c>
      <c r="E225" s="340"/>
      <c r="F225" s="245"/>
      <c r="G225" s="246"/>
      <c r="H225" s="340">
        <v>0</v>
      </c>
      <c r="I225" s="245">
        <v>0</v>
      </c>
      <c r="J225" s="247">
        <v>0</v>
      </c>
      <c r="K225" s="245">
        <f t="shared" si="27"/>
        <v>0</v>
      </c>
      <c r="L225" s="262">
        <f t="shared" si="25"/>
        <v>0</v>
      </c>
      <c r="M225" s="245">
        <f t="shared" si="26"/>
        <v>0</v>
      </c>
      <c r="N225" s="247">
        <v>0</v>
      </c>
      <c r="O225" s="245">
        <f t="shared" si="28"/>
        <v>0</v>
      </c>
      <c r="P225" s="433" t="s">
        <v>1488</v>
      </c>
      <c r="Q225" s="433">
        <v>2019</v>
      </c>
    </row>
    <row r="226" spans="1:17" ht="30">
      <c r="A226" s="258">
        <v>216</v>
      </c>
      <c r="B226" s="243" t="s">
        <v>923</v>
      </c>
      <c r="C226" s="248" t="s">
        <v>924</v>
      </c>
      <c r="D226" s="339">
        <v>2.0920000000000001</v>
      </c>
      <c r="E226" s="340"/>
      <c r="F226" s="245"/>
      <c r="G226" s="246"/>
      <c r="H226" s="340">
        <v>0</v>
      </c>
      <c r="I226" s="245">
        <f t="shared" si="24"/>
        <v>0</v>
      </c>
      <c r="J226" s="247">
        <v>0</v>
      </c>
      <c r="K226" s="245">
        <f t="shared" si="27"/>
        <v>0</v>
      </c>
      <c r="L226" s="262">
        <f t="shared" si="25"/>
        <v>0</v>
      </c>
      <c r="M226" s="245">
        <f t="shared" si="26"/>
        <v>0</v>
      </c>
      <c r="N226" s="247">
        <v>0</v>
      </c>
      <c r="O226" s="245">
        <f t="shared" si="28"/>
        <v>0</v>
      </c>
      <c r="P226" s="433" t="s">
        <v>1488</v>
      </c>
      <c r="Q226" s="433">
        <v>2019</v>
      </c>
    </row>
    <row r="227" spans="1:17" ht="30">
      <c r="A227" s="258">
        <v>217</v>
      </c>
      <c r="B227" s="243" t="s">
        <v>1510</v>
      </c>
      <c r="C227" s="248" t="s">
        <v>926</v>
      </c>
      <c r="D227" s="339">
        <v>3.5</v>
      </c>
      <c r="E227" s="340"/>
      <c r="F227" s="245"/>
      <c r="G227" s="246"/>
      <c r="H227" s="340">
        <v>0</v>
      </c>
      <c r="I227" s="245">
        <f t="shared" si="24"/>
        <v>0</v>
      </c>
      <c r="J227" s="247">
        <v>0</v>
      </c>
      <c r="K227" s="245">
        <f t="shared" si="27"/>
        <v>0</v>
      </c>
      <c r="L227" s="262">
        <f t="shared" si="25"/>
        <v>0</v>
      </c>
      <c r="M227" s="245">
        <f t="shared" si="26"/>
        <v>0</v>
      </c>
      <c r="N227" s="247">
        <v>0</v>
      </c>
      <c r="O227" s="245">
        <f t="shared" si="28"/>
        <v>0</v>
      </c>
      <c r="P227" s="433" t="s">
        <v>1488</v>
      </c>
      <c r="Q227" s="433">
        <v>2019</v>
      </c>
    </row>
    <row r="228" spans="1:17" ht="30">
      <c r="A228" s="258">
        <v>218</v>
      </c>
      <c r="B228" s="252" t="s">
        <v>1511</v>
      </c>
      <c r="C228" s="248" t="s">
        <v>1512</v>
      </c>
      <c r="D228" s="339">
        <v>1.22</v>
      </c>
      <c r="E228" s="340"/>
      <c r="F228" s="245"/>
      <c r="G228" s="246"/>
      <c r="H228" s="340">
        <v>0</v>
      </c>
      <c r="I228" s="245">
        <f t="shared" si="24"/>
        <v>0</v>
      </c>
      <c r="J228" s="247">
        <v>0</v>
      </c>
      <c r="K228" s="245">
        <f t="shared" si="27"/>
        <v>0</v>
      </c>
      <c r="L228" s="262">
        <f t="shared" si="25"/>
        <v>0</v>
      </c>
      <c r="M228" s="245">
        <f t="shared" si="26"/>
        <v>0</v>
      </c>
      <c r="N228" s="247">
        <v>0</v>
      </c>
      <c r="O228" s="245">
        <f t="shared" si="28"/>
        <v>0</v>
      </c>
      <c r="P228" s="433" t="s">
        <v>1488</v>
      </c>
      <c r="Q228" s="433">
        <v>2019</v>
      </c>
    </row>
    <row r="229" spans="1:17" ht="45">
      <c r="A229" s="258">
        <v>219</v>
      </c>
      <c r="B229" s="252" t="s">
        <v>1513</v>
      </c>
      <c r="C229" s="248" t="s">
        <v>1514</v>
      </c>
      <c r="D229" s="339">
        <v>2.68</v>
      </c>
      <c r="E229" s="340"/>
      <c r="F229" s="245"/>
      <c r="G229" s="246"/>
      <c r="H229" s="340">
        <v>0</v>
      </c>
      <c r="I229" s="245">
        <f t="shared" ref="I229:I292" si="29">H229/D229</f>
        <v>0</v>
      </c>
      <c r="J229" s="247">
        <v>0</v>
      </c>
      <c r="K229" s="245">
        <f t="shared" si="27"/>
        <v>0</v>
      </c>
      <c r="L229" s="262">
        <f t="shared" si="25"/>
        <v>0</v>
      </c>
      <c r="M229" s="245">
        <f t="shared" si="26"/>
        <v>0</v>
      </c>
      <c r="N229" s="247">
        <v>0</v>
      </c>
      <c r="O229" s="245">
        <f t="shared" si="28"/>
        <v>0</v>
      </c>
      <c r="P229" s="433" t="s">
        <v>1488</v>
      </c>
      <c r="Q229" s="433">
        <v>2019</v>
      </c>
    </row>
    <row r="230" spans="1:17" ht="30">
      <c r="A230" s="258">
        <v>220</v>
      </c>
      <c r="B230" s="435">
        <v>805696</v>
      </c>
      <c r="C230" s="248" t="s">
        <v>1515</v>
      </c>
      <c r="D230" s="339">
        <v>1.2030000000000001</v>
      </c>
      <c r="E230" s="340"/>
      <c r="F230" s="245"/>
      <c r="G230" s="246"/>
      <c r="H230" s="340">
        <v>0</v>
      </c>
      <c r="I230" s="245">
        <f t="shared" si="29"/>
        <v>0</v>
      </c>
      <c r="J230" s="247">
        <v>0</v>
      </c>
      <c r="K230" s="245">
        <f t="shared" si="27"/>
        <v>0</v>
      </c>
      <c r="L230" s="262">
        <f t="shared" si="25"/>
        <v>0</v>
      </c>
      <c r="M230" s="245">
        <f t="shared" si="26"/>
        <v>0</v>
      </c>
      <c r="N230" s="247">
        <v>0</v>
      </c>
      <c r="O230" s="245">
        <f t="shared" si="28"/>
        <v>0</v>
      </c>
      <c r="P230" s="433" t="s">
        <v>1488</v>
      </c>
      <c r="Q230" s="433">
        <v>2019</v>
      </c>
    </row>
    <row r="231" spans="1:17" ht="30">
      <c r="A231" s="258">
        <v>221</v>
      </c>
      <c r="B231" s="243">
        <v>805831</v>
      </c>
      <c r="C231" s="248" t="s">
        <v>1516</v>
      </c>
      <c r="D231" s="339">
        <v>6.9</v>
      </c>
      <c r="E231" s="340"/>
      <c r="F231" s="245"/>
      <c r="G231" s="246"/>
      <c r="H231" s="340">
        <v>0</v>
      </c>
      <c r="I231" s="245">
        <f t="shared" si="29"/>
        <v>0</v>
      </c>
      <c r="J231" s="247">
        <v>0</v>
      </c>
      <c r="K231" s="245">
        <f t="shared" si="27"/>
        <v>0</v>
      </c>
      <c r="L231" s="262">
        <f t="shared" si="25"/>
        <v>0</v>
      </c>
      <c r="M231" s="245">
        <f t="shared" si="26"/>
        <v>0</v>
      </c>
      <c r="N231" s="247">
        <v>0</v>
      </c>
      <c r="O231" s="245">
        <f t="shared" si="28"/>
        <v>0</v>
      </c>
      <c r="P231" s="433" t="s">
        <v>1488</v>
      </c>
      <c r="Q231" s="433">
        <v>2019</v>
      </c>
    </row>
    <row r="232" spans="1:17" ht="30">
      <c r="A232" s="258">
        <v>222</v>
      </c>
      <c r="B232" s="243">
        <v>805628</v>
      </c>
      <c r="C232" s="248" t="s">
        <v>929</v>
      </c>
      <c r="D232" s="339">
        <v>1.5</v>
      </c>
      <c r="E232" s="340"/>
      <c r="F232" s="245"/>
      <c r="G232" s="246"/>
      <c r="H232" s="340">
        <v>0</v>
      </c>
      <c r="I232" s="245">
        <f t="shared" si="29"/>
        <v>0</v>
      </c>
      <c r="J232" s="247">
        <v>0</v>
      </c>
      <c r="K232" s="245">
        <f t="shared" si="27"/>
        <v>0</v>
      </c>
      <c r="L232" s="262">
        <f t="shared" si="25"/>
        <v>0</v>
      </c>
      <c r="M232" s="245">
        <f t="shared" si="26"/>
        <v>0</v>
      </c>
      <c r="N232" s="247">
        <v>0</v>
      </c>
      <c r="O232" s="245">
        <f t="shared" si="28"/>
        <v>0</v>
      </c>
      <c r="P232" s="433" t="s">
        <v>1488</v>
      </c>
      <c r="Q232" s="433">
        <v>2019</v>
      </c>
    </row>
    <row r="233" spans="1:17">
      <c r="A233" s="258">
        <v>223</v>
      </c>
      <c r="B233" s="243" t="s">
        <v>931</v>
      </c>
      <c r="C233" s="248" t="s">
        <v>932</v>
      </c>
      <c r="D233" s="339">
        <v>24.376999999999999</v>
      </c>
      <c r="E233" s="340"/>
      <c r="F233" s="245"/>
      <c r="G233" s="246"/>
      <c r="H233" s="340">
        <v>0</v>
      </c>
      <c r="I233" s="245">
        <f t="shared" si="29"/>
        <v>0</v>
      </c>
      <c r="J233" s="247">
        <v>0</v>
      </c>
      <c r="K233" s="245">
        <f t="shared" si="27"/>
        <v>0</v>
      </c>
      <c r="L233" s="262">
        <f t="shared" si="25"/>
        <v>0</v>
      </c>
      <c r="M233" s="245">
        <f t="shared" si="26"/>
        <v>0</v>
      </c>
      <c r="N233" s="247">
        <v>0</v>
      </c>
      <c r="O233" s="245">
        <f t="shared" si="28"/>
        <v>0</v>
      </c>
      <c r="P233" s="433" t="s">
        <v>1488</v>
      </c>
      <c r="Q233" s="433">
        <v>2019</v>
      </c>
    </row>
    <row r="234" spans="1:17" ht="30">
      <c r="A234" s="258">
        <v>224</v>
      </c>
      <c r="B234" s="252" t="s">
        <v>1517</v>
      </c>
      <c r="C234" s="248" t="s">
        <v>1518</v>
      </c>
      <c r="D234" s="339">
        <v>0.53500000000000003</v>
      </c>
      <c r="E234" s="340"/>
      <c r="F234" s="245"/>
      <c r="G234" s="246"/>
      <c r="H234" s="340">
        <v>0</v>
      </c>
      <c r="I234" s="245">
        <f t="shared" si="29"/>
        <v>0</v>
      </c>
      <c r="J234" s="247">
        <v>0</v>
      </c>
      <c r="K234" s="245">
        <f t="shared" si="27"/>
        <v>0</v>
      </c>
      <c r="L234" s="262">
        <f t="shared" si="25"/>
        <v>0</v>
      </c>
      <c r="M234" s="245">
        <f t="shared" si="26"/>
        <v>0</v>
      </c>
      <c r="N234" s="247">
        <v>0</v>
      </c>
      <c r="O234" s="245">
        <f t="shared" si="28"/>
        <v>0</v>
      </c>
      <c r="P234" s="433" t="s">
        <v>1488</v>
      </c>
      <c r="Q234" s="433">
        <v>2019</v>
      </c>
    </row>
    <row r="235" spans="1:17" ht="30">
      <c r="A235" s="258">
        <v>225</v>
      </c>
      <c r="B235" s="252" t="s">
        <v>1519</v>
      </c>
      <c r="C235" s="248" t="s">
        <v>1520</v>
      </c>
      <c r="D235" s="339">
        <v>6</v>
      </c>
      <c r="E235" s="340"/>
      <c r="F235" s="245"/>
      <c r="G235" s="246"/>
      <c r="H235" s="340">
        <v>6</v>
      </c>
      <c r="I235" s="245">
        <f t="shared" si="29"/>
        <v>1</v>
      </c>
      <c r="J235" s="247">
        <v>0</v>
      </c>
      <c r="K235" s="245">
        <f t="shared" si="27"/>
        <v>0</v>
      </c>
      <c r="L235" s="262">
        <f t="shared" si="25"/>
        <v>0</v>
      </c>
      <c r="M235" s="245">
        <f t="shared" si="26"/>
        <v>0</v>
      </c>
      <c r="N235" s="247">
        <v>0</v>
      </c>
      <c r="O235" s="245">
        <f t="shared" si="28"/>
        <v>0</v>
      </c>
      <c r="P235" s="433" t="s">
        <v>1488</v>
      </c>
      <c r="Q235" s="433">
        <v>2019</v>
      </c>
    </row>
    <row r="236" spans="1:17" ht="30">
      <c r="A236" s="258">
        <v>226</v>
      </c>
      <c r="B236" s="435">
        <v>805750</v>
      </c>
      <c r="C236" s="248" t="s">
        <v>1521</v>
      </c>
      <c r="D236" s="339">
        <v>19.3</v>
      </c>
      <c r="E236" s="340"/>
      <c r="F236" s="245"/>
      <c r="G236" s="246"/>
      <c r="H236" s="340">
        <v>0</v>
      </c>
      <c r="I236" s="245">
        <f t="shared" si="29"/>
        <v>0</v>
      </c>
      <c r="J236" s="247">
        <v>0</v>
      </c>
      <c r="K236" s="245">
        <f t="shared" si="27"/>
        <v>0</v>
      </c>
      <c r="L236" s="262">
        <f t="shared" si="25"/>
        <v>0</v>
      </c>
      <c r="M236" s="245">
        <f t="shared" si="26"/>
        <v>0</v>
      </c>
      <c r="N236" s="247">
        <v>0</v>
      </c>
      <c r="O236" s="245">
        <f t="shared" si="28"/>
        <v>0</v>
      </c>
      <c r="P236" s="433" t="s">
        <v>1488</v>
      </c>
      <c r="Q236" s="433">
        <v>2019</v>
      </c>
    </row>
    <row r="237" spans="1:17" ht="30">
      <c r="A237" s="258">
        <v>227</v>
      </c>
      <c r="B237" s="252" t="s">
        <v>1522</v>
      </c>
      <c r="C237" s="248" t="s">
        <v>1523</v>
      </c>
      <c r="D237" s="339">
        <v>0.66</v>
      </c>
      <c r="E237" s="340"/>
      <c r="F237" s="245"/>
      <c r="G237" s="246"/>
      <c r="H237" s="340">
        <v>0</v>
      </c>
      <c r="I237" s="245">
        <f t="shared" si="29"/>
        <v>0</v>
      </c>
      <c r="J237" s="247">
        <v>0</v>
      </c>
      <c r="K237" s="245">
        <f t="shared" si="27"/>
        <v>0</v>
      </c>
      <c r="L237" s="262">
        <f t="shared" si="25"/>
        <v>0</v>
      </c>
      <c r="M237" s="245">
        <f t="shared" si="26"/>
        <v>0</v>
      </c>
      <c r="N237" s="247">
        <v>0</v>
      </c>
      <c r="O237" s="245">
        <f t="shared" si="28"/>
        <v>0</v>
      </c>
      <c r="P237" s="433" t="s">
        <v>1488</v>
      </c>
      <c r="Q237" s="433">
        <v>2019</v>
      </c>
    </row>
    <row r="238" spans="1:17" ht="30">
      <c r="A238" s="258">
        <v>228</v>
      </c>
      <c r="B238" s="252" t="s">
        <v>1524</v>
      </c>
      <c r="C238" s="248" t="s">
        <v>1525</v>
      </c>
      <c r="D238" s="339">
        <v>5.23</v>
      </c>
      <c r="E238" s="340"/>
      <c r="F238" s="245"/>
      <c r="G238" s="246"/>
      <c r="H238" s="340">
        <v>0</v>
      </c>
      <c r="I238" s="245">
        <f t="shared" si="29"/>
        <v>0</v>
      </c>
      <c r="J238" s="247">
        <v>0</v>
      </c>
      <c r="K238" s="245">
        <f t="shared" si="27"/>
        <v>0</v>
      </c>
      <c r="L238" s="262">
        <f t="shared" si="25"/>
        <v>0</v>
      </c>
      <c r="M238" s="245">
        <f t="shared" si="26"/>
        <v>0</v>
      </c>
      <c r="N238" s="247">
        <v>0</v>
      </c>
      <c r="O238" s="245">
        <f t="shared" si="28"/>
        <v>0</v>
      </c>
      <c r="P238" s="433" t="s">
        <v>1488</v>
      </c>
      <c r="Q238" s="433">
        <v>2019</v>
      </c>
    </row>
    <row r="239" spans="1:17">
      <c r="A239" s="258">
        <v>229</v>
      </c>
      <c r="B239" s="252" t="s">
        <v>908</v>
      </c>
      <c r="C239" s="248" t="s">
        <v>909</v>
      </c>
      <c r="D239" s="339">
        <v>19.420000000000002</v>
      </c>
      <c r="E239" s="340"/>
      <c r="F239" s="245"/>
      <c r="G239" s="246"/>
      <c r="H239" s="340">
        <v>0</v>
      </c>
      <c r="I239" s="245">
        <f t="shared" si="29"/>
        <v>0</v>
      </c>
      <c r="J239" s="247">
        <v>0</v>
      </c>
      <c r="K239" s="245">
        <f t="shared" si="27"/>
        <v>0</v>
      </c>
      <c r="L239" s="262">
        <f t="shared" si="25"/>
        <v>0</v>
      </c>
      <c r="M239" s="245">
        <f t="shared" si="26"/>
        <v>0</v>
      </c>
      <c r="N239" s="247">
        <v>0</v>
      </c>
      <c r="O239" s="245">
        <f t="shared" si="28"/>
        <v>0</v>
      </c>
      <c r="P239" s="433" t="s">
        <v>1488</v>
      </c>
      <c r="Q239" s="433">
        <v>2019</v>
      </c>
    </row>
    <row r="240" spans="1:17" ht="30">
      <c r="A240" s="258">
        <v>230</v>
      </c>
      <c r="B240" s="252" t="s">
        <v>1526</v>
      </c>
      <c r="C240" s="248" t="s">
        <v>1527</v>
      </c>
      <c r="D240" s="339">
        <v>3.2</v>
      </c>
      <c r="E240" s="340"/>
      <c r="F240" s="245"/>
      <c r="G240" s="246"/>
      <c r="H240" s="340">
        <v>0</v>
      </c>
      <c r="I240" s="245">
        <f t="shared" si="29"/>
        <v>0</v>
      </c>
      <c r="J240" s="247">
        <v>0</v>
      </c>
      <c r="K240" s="245">
        <f t="shared" si="27"/>
        <v>0</v>
      </c>
      <c r="L240" s="262">
        <f t="shared" si="25"/>
        <v>0</v>
      </c>
      <c r="M240" s="245">
        <f t="shared" si="26"/>
        <v>0</v>
      </c>
      <c r="N240" s="247">
        <v>0</v>
      </c>
      <c r="O240" s="245">
        <f t="shared" si="28"/>
        <v>0</v>
      </c>
      <c r="P240" s="433" t="s">
        <v>1488</v>
      </c>
      <c r="Q240" s="433">
        <v>2019</v>
      </c>
    </row>
    <row r="241" spans="1:17" ht="30">
      <c r="A241" s="258">
        <v>231</v>
      </c>
      <c r="B241" s="252" t="s">
        <v>1526</v>
      </c>
      <c r="C241" s="248" t="s">
        <v>1527</v>
      </c>
      <c r="D241" s="339">
        <v>6.79</v>
      </c>
      <c r="E241" s="340"/>
      <c r="F241" s="245"/>
      <c r="G241" s="246"/>
      <c r="H241" s="340">
        <v>0</v>
      </c>
      <c r="I241" s="245">
        <f t="shared" si="29"/>
        <v>0</v>
      </c>
      <c r="J241" s="247">
        <v>0</v>
      </c>
      <c r="K241" s="245">
        <f t="shared" si="27"/>
        <v>0</v>
      </c>
      <c r="L241" s="262">
        <f t="shared" si="25"/>
        <v>0</v>
      </c>
      <c r="M241" s="245">
        <f t="shared" si="26"/>
        <v>0</v>
      </c>
      <c r="N241" s="247">
        <v>0</v>
      </c>
      <c r="O241" s="245">
        <f t="shared" si="28"/>
        <v>0</v>
      </c>
      <c r="P241" s="433" t="s">
        <v>1488</v>
      </c>
      <c r="Q241" s="433">
        <v>2019</v>
      </c>
    </row>
    <row r="242" spans="1:17" ht="30">
      <c r="A242" s="258">
        <v>232</v>
      </c>
      <c r="B242" s="252" t="s">
        <v>1528</v>
      </c>
      <c r="C242" s="248" t="s">
        <v>1529</v>
      </c>
      <c r="D242" s="339">
        <v>1.65</v>
      </c>
      <c r="E242" s="340"/>
      <c r="F242" s="245"/>
      <c r="G242" s="246"/>
      <c r="H242" s="339">
        <v>1.65</v>
      </c>
      <c r="I242" s="245">
        <f t="shared" si="29"/>
        <v>1</v>
      </c>
      <c r="J242" s="339">
        <v>0</v>
      </c>
      <c r="K242" s="245">
        <f t="shared" si="27"/>
        <v>0</v>
      </c>
      <c r="L242" s="262">
        <f t="shared" si="25"/>
        <v>0</v>
      </c>
      <c r="M242" s="245">
        <f t="shared" si="26"/>
        <v>0</v>
      </c>
      <c r="N242" s="339">
        <v>0</v>
      </c>
      <c r="O242" s="245">
        <f t="shared" si="28"/>
        <v>0</v>
      </c>
      <c r="P242" s="433" t="s">
        <v>1488</v>
      </c>
      <c r="Q242" s="433">
        <v>2019</v>
      </c>
    </row>
    <row r="243" spans="1:17" ht="60">
      <c r="A243" s="258">
        <v>233</v>
      </c>
      <c r="B243" s="252" t="s">
        <v>1530</v>
      </c>
      <c r="C243" s="248" t="s">
        <v>1531</v>
      </c>
      <c r="D243" s="339">
        <v>2.89</v>
      </c>
      <c r="E243" s="340"/>
      <c r="F243" s="245"/>
      <c r="G243" s="246"/>
      <c r="H243" s="340">
        <v>0</v>
      </c>
      <c r="I243" s="245">
        <f t="shared" si="29"/>
        <v>0</v>
      </c>
      <c r="J243" s="247">
        <v>0</v>
      </c>
      <c r="K243" s="245">
        <f t="shared" si="27"/>
        <v>0</v>
      </c>
      <c r="L243" s="262">
        <f t="shared" si="25"/>
        <v>0</v>
      </c>
      <c r="M243" s="245">
        <f t="shared" si="26"/>
        <v>0</v>
      </c>
      <c r="N243" s="247">
        <v>0</v>
      </c>
      <c r="O243" s="245">
        <f t="shared" si="28"/>
        <v>0</v>
      </c>
      <c r="P243" s="433" t="s">
        <v>1488</v>
      </c>
      <c r="Q243" s="433">
        <v>2019</v>
      </c>
    </row>
    <row r="244" spans="1:17" ht="60">
      <c r="A244" s="258">
        <v>234</v>
      </c>
      <c r="B244" s="252" t="s">
        <v>1532</v>
      </c>
      <c r="C244" s="248" t="s">
        <v>1533</v>
      </c>
      <c r="D244" s="339">
        <v>2.02</v>
      </c>
      <c r="E244" s="340"/>
      <c r="F244" s="245"/>
      <c r="G244" s="246"/>
      <c r="H244" s="340">
        <v>0</v>
      </c>
      <c r="I244" s="245">
        <f t="shared" si="29"/>
        <v>0</v>
      </c>
      <c r="J244" s="247">
        <v>0</v>
      </c>
      <c r="K244" s="245">
        <f t="shared" si="27"/>
        <v>0</v>
      </c>
      <c r="L244" s="262">
        <f t="shared" si="25"/>
        <v>0</v>
      </c>
      <c r="M244" s="245">
        <f t="shared" si="26"/>
        <v>0</v>
      </c>
      <c r="N244" s="247">
        <v>0</v>
      </c>
      <c r="O244" s="245">
        <f t="shared" si="28"/>
        <v>0</v>
      </c>
      <c r="P244" s="433" t="s">
        <v>1488</v>
      </c>
      <c r="Q244" s="433">
        <v>2019</v>
      </c>
    </row>
    <row r="245" spans="1:17" ht="60">
      <c r="A245" s="258">
        <v>235</v>
      </c>
      <c r="B245" s="252" t="s">
        <v>1534</v>
      </c>
      <c r="C245" s="248" t="s">
        <v>1535</v>
      </c>
      <c r="D245" s="339">
        <v>1.6</v>
      </c>
      <c r="E245" s="340"/>
      <c r="F245" s="245"/>
      <c r="G245" s="246"/>
      <c r="H245" s="340">
        <v>0</v>
      </c>
      <c r="I245" s="245">
        <f t="shared" si="29"/>
        <v>0</v>
      </c>
      <c r="J245" s="247">
        <v>0</v>
      </c>
      <c r="K245" s="245">
        <f t="shared" si="27"/>
        <v>0</v>
      </c>
      <c r="L245" s="262">
        <f t="shared" si="25"/>
        <v>0</v>
      </c>
      <c r="M245" s="245">
        <f t="shared" si="26"/>
        <v>0</v>
      </c>
      <c r="N245" s="247">
        <v>0</v>
      </c>
      <c r="O245" s="245">
        <f t="shared" si="28"/>
        <v>0</v>
      </c>
      <c r="P245" s="433" t="s">
        <v>1488</v>
      </c>
      <c r="Q245" s="433">
        <v>2019</v>
      </c>
    </row>
    <row r="246" spans="1:17">
      <c r="A246" s="258">
        <v>236</v>
      </c>
      <c r="B246" s="252" t="s">
        <v>1536</v>
      </c>
      <c r="C246" s="248" t="s">
        <v>1537</v>
      </c>
      <c r="D246" s="339">
        <v>13.59</v>
      </c>
      <c r="E246" s="340"/>
      <c r="F246" s="245"/>
      <c r="G246" s="246"/>
      <c r="H246" s="340">
        <v>0</v>
      </c>
      <c r="I246" s="245">
        <f t="shared" si="29"/>
        <v>0</v>
      </c>
      <c r="J246" s="247">
        <v>0</v>
      </c>
      <c r="K246" s="245">
        <f t="shared" si="27"/>
        <v>0</v>
      </c>
      <c r="L246" s="262">
        <f t="shared" si="25"/>
        <v>0</v>
      </c>
      <c r="M246" s="245">
        <f t="shared" si="26"/>
        <v>0</v>
      </c>
      <c r="N246" s="247">
        <v>0</v>
      </c>
      <c r="O246" s="245">
        <f t="shared" si="28"/>
        <v>0</v>
      </c>
      <c r="P246" s="433" t="s">
        <v>1488</v>
      </c>
      <c r="Q246" s="433">
        <v>2019</v>
      </c>
    </row>
    <row r="247" spans="1:17" ht="60">
      <c r="A247" s="258">
        <v>237</v>
      </c>
      <c r="B247" s="252" t="s">
        <v>1538</v>
      </c>
      <c r="C247" s="248" t="s">
        <v>1539</v>
      </c>
      <c r="D247" s="339">
        <v>41.27</v>
      </c>
      <c r="E247" s="340"/>
      <c r="F247" s="245"/>
      <c r="G247" s="246"/>
      <c r="H247" s="340">
        <v>0</v>
      </c>
      <c r="I247" s="245">
        <f t="shared" si="29"/>
        <v>0</v>
      </c>
      <c r="J247" s="247">
        <v>0</v>
      </c>
      <c r="K247" s="245">
        <f t="shared" si="27"/>
        <v>0</v>
      </c>
      <c r="L247" s="262">
        <f t="shared" si="25"/>
        <v>0</v>
      </c>
      <c r="M247" s="245">
        <f t="shared" si="26"/>
        <v>0</v>
      </c>
      <c r="N247" s="247">
        <v>0</v>
      </c>
      <c r="O247" s="245">
        <f t="shared" si="28"/>
        <v>0</v>
      </c>
      <c r="P247" s="433" t="s">
        <v>1488</v>
      </c>
      <c r="Q247" s="433">
        <v>2019</v>
      </c>
    </row>
    <row r="248" spans="1:17">
      <c r="A248" s="258">
        <v>238</v>
      </c>
      <c r="B248" s="252" t="s">
        <v>1540</v>
      </c>
      <c r="C248" s="248" t="s">
        <v>1541</v>
      </c>
      <c r="D248" s="339">
        <v>25.19</v>
      </c>
      <c r="E248" s="340"/>
      <c r="F248" s="245"/>
      <c r="G248" s="246"/>
      <c r="H248" s="340">
        <v>0</v>
      </c>
      <c r="I248" s="245">
        <f t="shared" si="29"/>
        <v>0</v>
      </c>
      <c r="J248" s="247">
        <v>0</v>
      </c>
      <c r="K248" s="245">
        <f t="shared" si="27"/>
        <v>0</v>
      </c>
      <c r="L248" s="262">
        <f t="shared" si="25"/>
        <v>0</v>
      </c>
      <c r="M248" s="245">
        <f t="shared" si="26"/>
        <v>0</v>
      </c>
      <c r="N248" s="247">
        <v>0</v>
      </c>
      <c r="O248" s="245">
        <f t="shared" si="28"/>
        <v>0</v>
      </c>
      <c r="P248" s="433" t="s">
        <v>1488</v>
      </c>
      <c r="Q248" s="433">
        <v>2019</v>
      </c>
    </row>
    <row r="249" spans="1:17" ht="30">
      <c r="A249" s="258">
        <v>239</v>
      </c>
      <c r="B249" s="252" t="s">
        <v>1542</v>
      </c>
      <c r="C249" s="248" t="s">
        <v>1543</v>
      </c>
      <c r="D249" s="339">
        <v>47.79</v>
      </c>
      <c r="E249" s="340"/>
      <c r="F249" s="245"/>
      <c r="G249" s="246"/>
      <c r="H249" s="340">
        <v>0</v>
      </c>
      <c r="I249" s="245">
        <f t="shared" si="29"/>
        <v>0</v>
      </c>
      <c r="J249" s="247">
        <v>0</v>
      </c>
      <c r="K249" s="245">
        <f t="shared" si="27"/>
        <v>0</v>
      </c>
      <c r="L249" s="262">
        <f t="shared" si="25"/>
        <v>0</v>
      </c>
      <c r="M249" s="245">
        <f t="shared" si="26"/>
        <v>0</v>
      </c>
      <c r="N249" s="247">
        <v>0</v>
      </c>
      <c r="O249" s="245">
        <f t="shared" si="28"/>
        <v>0</v>
      </c>
      <c r="P249" s="433" t="s">
        <v>1488</v>
      </c>
      <c r="Q249" s="433">
        <v>2019</v>
      </c>
    </row>
    <row r="250" spans="1:17" ht="30">
      <c r="A250" s="258">
        <v>240</v>
      </c>
      <c r="B250" s="252" t="s">
        <v>1544</v>
      </c>
      <c r="C250" s="248" t="s">
        <v>1545</v>
      </c>
      <c r="D250" s="339">
        <v>29.42</v>
      </c>
      <c r="E250" s="340"/>
      <c r="F250" s="245"/>
      <c r="G250" s="246"/>
      <c r="H250" s="340">
        <v>0</v>
      </c>
      <c r="I250" s="245">
        <f t="shared" si="29"/>
        <v>0</v>
      </c>
      <c r="J250" s="247">
        <v>0</v>
      </c>
      <c r="K250" s="245">
        <f t="shared" si="27"/>
        <v>0</v>
      </c>
      <c r="L250" s="262">
        <f t="shared" si="25"/>
        <v>0</v>
      </c>
      <c r="M250" s="245">
        <f t="shared" si="26"/>
        <v>0</v>
      </c>
      <c r="N250" s="247">
        <v>0</v>
      </c>
      <c r="O250" s="245">
        <f t="shared" si="28"/>
        <v>0</v>
      </c>
      <c r="P250" s="433" t="s">
        <v>1488</v>
      </c>
      <c r="Q250" s="433">
        <v>2019</v>
      </c>
    </row>
    <row r="251" spans="1:17" ht="30">
      <c r="A251" s="258">
        <v>241</v>
      </c>
      <c r="B251" s="252" t="s">
        <v>1546</v>
      </c>
      <c r="C251" s="248" t="s">
        <v>1547</v>
      </c>
      <c r="D251" s="339">
        <v>44.88</v>
      </c>
      <c r="E251" s="340"/>
      <c r="F251" s="245"/>
      <c r="G251" s="246"/>
      <c r="H251" s="340">
        <v>0</v>
      </c>
      <c r="I251" s="245">
        <f t="shared" si="29"/>
        <v>0</v>
      </c>
      <c r="J251" s="247">
        <v>0</v>
      </c>
      <c r="K251" s="245">
        <f t="shared" si="27"/>
        <v>0</v>
      </c>
      <c r="L251" s="262">
        <f t="shared" si="25"/>
        <v>0</v>
      </c>
      <c r="M251" s="245">
        <f t="shared" si="26"/>
        <v>0</v>
      </c>
      <c r="N251" s="247">
        <v>0</v>
      </c>
      <c r="O251" s="245">
        <f t="shared" si="28"/>
        <v>0</v>
      </c>
      <c r="P251" s="433" t="s">
        <v>1488</v>
      </c>
      <c r="Q251" s="433">
        <v>2019</v>
      </c>
    </row>
    <row r="252" spans="1:17">
      <c r="A252" s="258">
        <v>242</v>
      </c>
      <c r="B252" s="252" t="s">
        <v>1548</v>
      </c>
      <c r="C252" s="248" t="s">
        <v>1549</v>
      </c>
      <c r="D252" s="339">
        <v>2.9449999999999998</v>
      </c>
      <c r="E252" s="340"/>
      <c r="F252" s="245"/>
      <c r="G252" s="246"/>
      <c r="H252" s="340">
        <v>0</v>
      </c>
      <c r="I252" s="245">
        <f t="shared" si="29"/>
        <v>0</v>
      </c>
      <c r="J252" s="247">
        <v>0</v>
      </c>
      <c r="K252" s="245">
        <f t="shared" si="27"/>
        <v>0</v>
      </c>
      <c r="L252" s="262">
        <f t="shared" si="25"/>
        <v>0</v>
      </c>
      <c r="M252" s="245">
        <f t="shared" si="26"/>
        <v>0</v>
      </c>
      <c r="N252" s="247">
        <v>0</v>
      </c>
      <c r="O252" s="245">
        <f t="shared" si="28"/>
        <v>0</v>
      </c>
      <c r="P252" s="433" t="s">
        <v>1488</v>
      </c>
      <c r="Q252" s="433">
        <v>2019</v>
      </c>
    </row>
    <row r="253" spans="1:17" ht="30">
      <c r="A253" s="258">
        <v>243</v>
      </c>
      <c r="B253" s="252" t="s">
        <v>1550</v>
      </c>
      <c r="C253" s="248" t="s">
        <v>1551</v>
      </c>
      <c r="D253" s="339">
        <v>12.9</v>
      </c>
      <c r="E253" s="340"/>
      <c r="F253" s="245"/>
      <c r="G253" s="246"/>
      <c r="H253" s="340">
        <v>0</v>
      </c>
      <c r="I253" s="245">
        <f t="shared" si="29"/>
        <v>0</v>
      </c>
      <c r="J253" s="247">
        <v>0</v>
      </c>
      <c r="K253" s="245">
        <f t="shared" si="27"/>
        <v>0</v>
      </c>
      <c r="L253" s="262">
        <f t="shared" si="25"/>
        <v>0</v>
      </c>
      <c r="M253" s="245">
        <f t="shared" si="26"/>
        <v>0</v>
      </c>
      <c r="N253" s="247">
        <v>0</v>
      </c>
      <c r="O253" s="245">
        <f t="shared" si="28"/>
        <v>0</v>
      </c>
      <c r="P253" s="433" t="s">
        <v>1488</v>
      </c>
      <c r="Q253" s="433">
        <v>2019</v>
      </c>
    </row>
    <row r="254" spans="1:17" ht="30">
      <c r="A254" s="258">
        <v>244</v>
      </c>
      <c r="B254" s="252" t="s">
        <v>1552</v>
      </c>
      <c r="C254" s="248" t="s">
        <v>1553</v>
      </c>
      <c r="D254" s="339">
        <v>6.1</v>
      </c>
      <c r="E254" s="340"/>
      <c r="F254" s="245"/>
      <c r="G254" s="246"/>
      <c r="H254" s="340">
        <v>0</v>
      </c>
      <c r="I254" s="245">
        <f t="shared" si="29"/>
        <v>0</v>
      </c>
      <c r="J254" s="247">
        <v>0</v>
      </c>
      <c r="K254" s="245">
        <f t="shared" si="27"/>
        <v>0</v>
      </c>
      <c r="L254" s="262">
        <f t="shared" ref="L254:L317" si="30">J254</f>
        <v>0</v>
      </c>
      <c r="M254" s="245">
        <f t="shared" si="26"/>
        <v>0</v>
      </c>
      <c r="N254" s="247">
        <v>0</v>
      </c>
      <c r="O254" s="245">
        <f t="shared" si="28"/>
        <v>0</v>
      </c>
      <c r="P254" s="433" t="s">
        <v>1488</v>
      </c>
      <c r="Q254" s="433">
        <v>2019</v>
      </c>
    </row>
    <row r="255" spans="1:17" ht="30">
      <c r="A255" s="258">
        <v>245</v>
      </c>
      <c r="B255" s="252" t="s">
        <v>1554</v>
      </c>
      <c r="C255" s="248" t="s">
        <v>1555</v>
      </c>
      <c r="D255" s="339">
        <v>8</v>
      </c>
      <c r="E255" s="340"/>
      <c r="F255" s="245"/>
      <c r="G255" s="246"/>
      <c r="H255" s="340">
        <v>0</v>
      </c>
      <c r="I255" s="245">
        <f t="shared" si="29"/>
        <v>0</v>
      </c>
      <c r="J255" s="247">
        <v>0</v>
      </c>
      <c r="K255" s="245">
        <f t="shared" si="27"/>
        <v>0</v>
      </c>
      <c r="L255" s="262">
        <f t="shared" si="30"/>
        <v>0</v>
      </c>
      <c r="M255" s="245">
        <f t="shared" si="26"/>
        <v>0</v>
      </c>
      <c r="N255" s="247">
        <v>0</v>
      </c>
      <c r="O255" s="245">
        <f t="shared" si="28"/>
        <v>0</v>
      </c>
      <c r="P255" s="433" t="s">
        <v>1488</v>
      </c>
      <c r="Q255" s="433">
        <v>2019</v>
      </c>
    </row>
    <row r="256" spans="1:17" ht="30">
      <c r="A256" s="258">
        <v>246</v>
      </c>
      <c r="B256" s="252" t="s">
        <v>1556</v>
      </c>
      <c r="C256" s="248" t="s">
        <v>1557</v>
      </c>
      <c r="D256" s="339">
        <v>5.3920000000000003</v>
      </c>
      <c r="E256" s="340"/>
      <c r="F256" s="245"/>
      <c r="G256" s="246"/>
      <c r="H256" s="340">
        <v>0</v>
      </c>
      <c r="I256" s="245">
        <f t="shared" si="29"/>
        <v>0</v>
      </c>
      <c r="J256" s="247">
        <v>0</v>
      </c>
      <c r="K256" s="245">
        <f t="shared" si="27"/>
        <v>0</v>
      </c>
      <c r="L256" s="262">
        <f t="shared" si="30"/>
        <v>0</v>
      </c>
      <c r="M256" s="245">
        <f t="shared" si="26"/>
        <v>0</v>
      </c>
      <c r="N256" s="247">
        <v>0</v>
      </c>
      <c r="O256" s="245">
        <f t="shared" si="28"/>
        <v>0</v>
      </c>
      <c r="P256" s="433" t="s">
        <v>1488</v>
      </c>
      <c r="Q256" s="433">
        <v>2019</v>
      </c>
    </row>
    <row r="257" spans="1:17" ht="30">
      <c r="A257" s="258">
        <v>247</v>
      </c>
      <c r="B257" s="252" t="s">
        <v>1558</v>
      </c>
      <c r="C257" s="248" t="s">
        <v>1559</v>
      </c>
      <c r="D257" s="339">
        <v>1</v>
      </c>
      <c r="E257" s="340"/>
      <c r="F257" s="245"/>
      <c r="G257" s="246"/>
      <c r="H257" s="340">
        <v>0</v>
      </c>
      <c r="I257" s="245">
        <f t="shared" si="29"/>
        <v>0</v>
      </c>
      <c r="J257" s="247">
        <v>0</v>
      </c>
      <c r="K257" s="245">
        <f t="shared" si="27"/>
        <v>0</v>
      </c>
      <c r="L257" s="262">
        <f t="shared" si="30"/>
        <v>0</v>
      </c>
      <c r="M257" s="245">
        <f t="shared" si="26"/>
        <v>0</v>
      </c>
      <c r="N257" s="247">
        <v>0</v>
      </c>
      <c r="O257" s="245">
        <f t="shared" si="28"/>
        <v>0</v>
      </c>
      <c r="P257" s="433" t="s">
        <v>1488</v>
      </c>
      <c r="Q257" s="433">
        <v>2019</v>
      </c>
    </row>
    <row r="258" spans="1:17" ht="30">
      <c r="A258" s="258">
        <v>248</v>
      </c>
      <c r="B258" s="252" t="s">
        <v>934</v>
      </c>
      <c r="C258" s="248" t="s">
        <v>935</v>
      </c>
      <c r="D258" s="339">
        <v>25.937999999999999</v>
      </c>
      <c r="E258" s="340"/>
      <c r="F258" s="245"/>
      <c r="G258" s="246"/>
      <c r="H258" s="340">
        <v>0</v>
      </c>
      <c r="I258" s="245">
        <f t="shared" si="29"/>
        <v>0</v>
      </c>
      <c r="J258" s="247">
        <v>0</v>
      </c>
      <c r="K258" s="245">
        <f t="shared" si="27"/>
        <v>0</v>
      </c>
      <c r="L258" s="262">
        <f t="shared" si="30"/>
        <v>0</v>
      </c>
      <c r="M258" s="245">
        <f t="shared" si="26"/>
        <v>0</v>
      </c>
      <c r="N258" s="247">
        <v>0</v>
      </c>
      <c r="O258" s="245">
        <f t="shared" si="28"/>
        <v>0</v>
      </c>
      <c r="P258" s="433" t="s">
        <v>1488</v>
      </c>
      <c r="Q258" s="433">
        <v>2019</v>
      </c>
    </row>
    <row r="259" spans="1:17" ht="30">
      <c r="A259" s="258">
        <v>249</v>
      </c>
      <c r="B259" s="252" t="s">
        <v>1560</v>
      </c>
      <c r="C259" s="248" t="s">
        <v>1561</v>
      </c>
      <c r="D259" s="339">
        <v>0.753</v>
      </c>
      <c r="E259" s="340"/>
      <c r="F259" s="245"/>
      <c r="G259" s="246"/>
      <c r="H259" s="340">
        <v>0</v>
      </c>
      <c r="I259" s="245">
        <f t="shared" si="29"/>
        <v>0</v>
      </c>
      <c r="J259" s="247">
        <v>0</v>
      </c>
      <c r="K259" s="245">
        <f t="shared" si="27"/>
        <v>0</v>
      </c>
      <c r="L259" s="262">
        <f t="shared" si="30"/>
        <v>0</v>
      </c>
      <c r="M259" s="245">
        <f t="shared" si="26"/>
        <v>0</v>
      </c>
      <c r="N259" s="247">
        <v>0</v>
      </c>
      <c r="O259" s="245">
        <f t="shared" si="28"/>
        <v>0</v>
      </c>
      <c r="P259" s="433" t="s">
        <v>1488</v>
      </c>
      <c r="Q259" s="433">
        <v>2019</v>
      </c>
    </row>
    <row r="260" spans="1:17" ht="30">
      <c r="A260" s="258">
        <v>250</v>
      </c>
      <c r="B260" s="252" t="s">
        <v>1562</v>
      </c>
      <c r="C260" s="248" t="s">
        <v>1563</v>
      </c>
      <c r="D260" s="339">
        <v>0.91400000000000003</v>
      </c>
      <c r="E260" s="340"/>
      <c r="F260" s="245"/>
      <c r="G260" s="246"/>
      <c r="H260" s="340">
        <v>0</v>
      </c>
      <c r="I260" s="245">
        <f t="shared" si="29"/>
        <v>0</v>
      </c>
      <c r="J260" s="247">
        <v>0</v>
      </c>
      <c r="K260" s="245">
        <f t="shared" si="27"/>
        <v>0</v>
      </c>
      <c r="L260" s="262">
        <f t="shared" si="30"/>
        <v>0</v>
      </c>
      <c r="M260" s="245">
        <f t="shared" si="26"/>
        <v>0</v>
      </c>
      <c r="N260" s="247">
        <v>0</v>
      </c>
      <c r="O260" s="245">
        <f t="shared" si="28"/>
        <v>0</v>
      </c>
      <c r="P260" s="433" t="s">
        <v>1488</v>
      </c>
      <c r="Q260" s="433">
        <v>2019</v>
      </c>
    </row>
    <row r="261" spans="1:17" ht="30">
      <c r="A261" s="258">
        <v>251</v>
      </c>
      <c r="B261" s="252" t="s">
        <v>1564</v>
      </c>
      <c r="C261" s="248" t="s">
        <v>1565</v>
      </c>
      <c r="D261" s="339">
        <v>6.7320000000000002</v>
      </c>
      <c r="E261" s="340"/>
      <c r="F261" s="245"/>
      <c r="G261" s="246"/>
      <c r="H261" s="340">
        <v>0</v>
      </c>
      <c r="I261" s="245">
        <f t="shared" si="29"/>
        <v>0</v>
      </c>
      <c r="J261" s="247">
        <v>0</v>
      </c>
      <c r="K261" s="245">
        <f t="shared" si="27"/>
        <v>0</v>
      </c>
      <c r="L261" s="262">
        <f t="shared" si="30"/>
        <v>0</v>
      </c>
      <c r="M261" s="245">
        <f t="shared" si="26"/>
        <v>0</v>
      </c>
      <c r="N261" s="247">
        <v>0</v>
      </c>
      <c r="O261" s="245">
        <f t="shared" si="28"/>
        <v>0</v>
      </c>
      <c r="P261" s="433" t="s">
        <v>1488</v>
      </c>
      <c r="Q261" s="433">
        <v>2019</v>
      </c>
    </row>
    <row r="262" spans="1:17" ht="30">
      <c r="A262" s="258">
        <v>252</v>
      </c>
      <c r="B262" s="252" t="s">
        <v>937</v>
      </c>
      <c r="C262" s="248" t="s">
        <v>938</v>
      </c>
      <c r="D262" s="339">
        <v>0.15</v>
      </c>
      <c r="E262" s="340"/>
      <c r="F262" s="245"/>
      <c r="G262" s="246"/>
      <c r="H262" s="340">
        <v>0</v>
      </c>
      <c r="I262" s="245">
        <f t="shared" si="29"/>
        <v>0</v>
      </c>
      <c r="J262" s="247">
        <v>0</v>
      </c>
      <c r="K262" s="245">
        <f t="shared" si="27"/>
        <v>0</v>
      </c>
      <c r="L262" s="262">
        <f t="shared" si="30"/>
        <v>0</v>
      </c>
      <c r="M262" s="245">
        <f t="shared" si="26"/>
        <v>0</v>
      </c>
      <c r="N262" s="247">
        <v>0</v>
      </c>
      <c r="O262" s="245">
        <f t="shared" si="28"/>
        <v>0</v>
      </c>
      <c r="P262" s="433" t="s">
        <v>1488</v>
      </c>
      <c r="Q262" s="433">
        <v>2019</v>
      </c>
    </row>
    <row r="263" spans="1:17">
      <c r="A263" s="258">
        <v>253</v>
      </c>
      <c r="B263" s="252" t="s">
        <v>1566</v>
      </c>
      <c r="C263" s="248" t="s">
        <v>1567</v>
      </c>
      <c r="D263" s="339">
        <v>6.23</v>
      </c>
      <c r="E263" s="340"/>
      <c r="F263" s="245"/>
      <c r="G263" s="246"/>
      <c r="H263" s="340">
        <v>0</v>
      </c>
      <c r="I263" s="245">
        <f t="shared" si="29"/>
        <v>0</v>
      </c>
      <c r="J263" s="247">
        <v>0</v>
      </c>
      <c r="K263" s="245">
        <f t="shared" si="27"/>
        <v>0</v>
      </c>
      <c r="L263" s="262">
        <f t="shared" si="30"/>
        <v>0</v>
      </c>
      <c r="M263" s="245">
        <f t="shared" si="26"/>
        <v>0</v>
      </c>
      <c r="N263" s="247">
        <v>0</v>
      </c>
      <c r="O263" s="245">
        <f t="shared" si="28"/>
        <v>0</v>
      </c>
      <c r="P263" s="433" t="s">
        <v>1488</v>
      </c>
      <c r="Q263" s="433">
        <v>2019</v>
      </c>
    </row>
    <row r="264" spans="1:17">
      <c r="A264" s="258">
        <v>254</v>
      </c>
      <c r="B264" s="252" t="s">
        <v>1568</v>
      </c>
      <c r="C264" s="248" t="s">
        <v>1569</v>
      </c>
      <c r="D264" s="339">
        <v>22.2</v>
      </c>
      <c r="E264" s="340"/>
      <c r="F264" s="245"/>
      <c r="G264" s="246"/>
      <c r="H264" s="340">
        <v>0</v>
      </c>
      <c r="I264" s="245">
        <f t="shared" si="29"/>
        <v>0</v>
      </c>
      <c r="J264" s="247">
        <v>0</v>
      </c>
      <c r="K264" s="245">
        <f t="shared" si="27"/>
        <v>0</v>
      </c>
      <c r="L264" s="262">
        <f t="shared" si="30"/>
        <v>0</v>
      </c>
      <c r="M264" s="245">
        <f t="shared" si="26"/>
        <v>0</v>
      </c>
      <c r="N264" s="247">
        <v>0</v>
      </c>
      <c r="O264" s="245">
        <f t="shared" si="28"/>
        <v>0</v>
      </c>
      <c r="P264" s="433" t="s">
        <v>1488</v>
      </c>
      <c r="Q264" s="433">
        <v>2019</v>
      </c>
    </row>
    <row r="265" spans="1:17">
      <c r="A265" s="258">
        <v>255</v>
      </c>
      <c r="B265" s="252" t="s">
        <v>1570</v>
      </c>
      <c r="C265" s="248" t="s">
        <v>1571</v>
      </c>
      <c r="D265" s="339">
        <v>6.07</v>
      </c>
      <c r="E265" s="340"/>
      <c r="F265" s="245"/>
      <c r="G265" s="246"/>
      <c r="H265" s="340">
        <v>0</v>
      </c>
      <c r="I265" s="245">
        <f t="shared" si="29"/>
        <v>0</v>
      </c>
      <c r="J265" s="247">
        <v>0</v>
      </c>
      <c r="K265" s="245">
        <f t="shared" si="27"/>
        <v>0</v>
      </c>
      <c r="L265" s="262">
        <f t="shared" si="30"/>
        <v>0</v>
      </c>
      <c r="M265" s="245">
        <f t="shared" ref="M265:M274" si="31">L265/D265</f>
        <v>0</v>
      </c>
      <c r="N265" s="247">
        <v>0</v>
      </c>
      <c r="O265" s="245">
        <f t="shared" si="28"/>
        <v>0</v>
      </c>
      <c r="P265" s="433" t="s">
        <v>1488</v>
      </c>
      <c r="Q265" s="433">
        <v>2019</v>
      </c>
    </row>
    <row r="266" spans="1:17" ht="30">
      <c r="A266" s="258">
        <v>256</v>
      </c>
      <c r="B266" s="252" t="s">
        <v>1572</v>
      </c>
      <c r="C266" s="248" t="s">
        <v>1573</v>
      </c>
      <c r="D266" s="339">
        <v>0.73</v>
      </c>
      <c r="E266" s="340"/>
      <c r="F266" s="245"/>
      <c r="G266" s="246"/>
      <c r="H266" s="340">
        <v>0</v>
      </c>
      <c r="I266" s="245">
        <f t="shared" si="29"/>
        <v>0</v>
      </c>
      <c r="J266" s="247">
        <v>0</v>
      </c>
      <c r="K266" s="245">
        <f t="shared" ref="K266:K329" si="32">J266/D266</f>
        <v>0</v>
      </c>
      <c r="L266" s="262">
        <f t="shared" si="30"/>
        <v>0</v>
      </c>
      <c r="M266" s="245">
        <f t="shared" si="31"/>
        <v>0</v>
      </c>
      <c r="N266" s="247">
        <v>0</v>
      </c>
      <c r="O266" s="245">
        <f t="shared" ref="O266:O329" si="33">N266/D266</f>
        <v>0</v>
      </c>
      <c r="P266" s="433" t="s">
        <v>1488</v>
      </c>
      <c r="Q266" s="433">
        <v>2019</v>
      </c>
    </row>
    <row r="267" spans="1:17" ht="30">
      <c r="A267" s="258">
        <v>257</v>
      </c>
      <c r="B267" s="252" t="s">
        <v>1574</v>
      </c>
      <c r="C267" s="248" t="s">
        <v>1575</v>
      </c>
      <c r="D267" s="339">
        <v>2.91</v>
      </c>
      <c r="E267" s="340"/>
      <c r="F267" s="245"/>
      <c r="G267" s="246"/>
      <c r="H267" s="340">
        <v>0</v>
      </c>
      <c r="I267" s="245">
        <f t="shared" si="29"/>
        <v>0</v>
      </c>
      <c r="J267" s="247">
        <v>0</v>
      </c>
      <c r="K267" s="245">
        <f t="shared" si="32"/>
        <v>0</v>
      </c>
      <c r="L267" s="262">
        <f t="shared" si="30"/>
        <v>0</v>
      </c>
      <c r="M267" s="245">
        <f t="shared" si="31"/>
        <v>0</v>
      </c>
      <c r="N267" s="247">
        <v>0</v>
      </c>
      <c r="O267" s="245">
        <f t="shared" si="33"/>
        <v>0</v>
      </c>
      <c r="P267" s="433" t="s">
        <v>1488</v>
      </c>
      <c r="Q267" s="433">
        <v>2019</v>
      </c>
    </row>
    <row r="268" spans="1:17">
      <c r="A268" s="258">
        <v>258</v>
      </c>
      <c r="B268" s="252" t="s">
        <v>1576</v>
      </c>
      <c r="C268" s="248" t="s">
        <v>1577</v>
      </c>
      <c r="D268" s="339">
        <v>0.48099999999999998</v>
      </c>
      <c r="E268" s="340"/>
      <c r="F268" s="245"/>
      <c r="G268" s="246"/>
      <c r="H268" s="340">
        <v>0</v>
      </c>
      <c r="I268" s="245">
        <f t="shared" si="29"/>
        <v>0</v>
      </c>
      <c r="J268" s="247">
        <v>0</v>
      </c>
      <c r="K268" s="245">
        <f t="shared" si="32"/>
        <v>0</v>
      </c>
      <c r="L268" s="262">
        <f t="shared" si="30"/>
        <v>0</v>
      </c>
      <c r="M268" s="245">
        <f t="shared" si="31"/>
        <v>0</v>
      </c>
      <c r="N268" s="247">
        <v>0</v>
      </c>
      <c r="O268" s="245">
        <f t="shared" si="33"/>
        <v>0</v>
      </c>
      <c r="P268" s="433" t="s">
        <v>1488</v>
      </c>
      <c r="Q268" s="433">
        <v>2019</v>
      </c>
    </row>
    <row r="269" spans="1:17" ht="60">
      <c r="A269" s="258">
        <v>259</v>
      </c>
      <c r="B269" s="252" t="s">
        <v>1578</v>
      </c>
      <c r="C269" s="248" t="s">
        <v>1579</v>
      </c>
      <c r="D269" s="339">
        <v>1.4650000000000001</v>
      </c>
      <c r="E269" s="340"/>
      <c r="F269" s="245"/>
      <c r="G269" s="246"/>
      <c r="H269" s="340">
        <v>0</v>
      </c>
      <c r="I269" s="245">
        <f t="shared" si="29"/>
        <v>0</v>
      </c>
      <c r="J269" s="247">
        <v>0</v>
      </c>
      <c r="K269" s="245">
        <f t="shared" si="32"/>
        <v>0</v>
      </c>
      <c r="L269" s="262">
        <f t="shared" si="30"/>
        <v>0</v>
      </c>
      <c r="M269" s="245">
        <f t="shared" si="31"/>
        <v>0</v>
      </c>
      <c r="N269" s="247">
        <v>0</v>
      </c>
      <c r="O269" s="245">
        <f t="shared" si="33"/>
        <v>0</v>
      </c>
      <c r="P269" s="433" t="s">
        <v>1488</v>
      </c>
      <c r="Q269" s="433">
        <v>2019</v>
      </c>
    </row>
    <row r="270" spans="1:17" ht="60">
      <c r="A270" s="258">
        <v>260</v>
      </c>
      <c r="B270" s="252" t="s">
        <v>1580</v>
      </c>
      <c r="C270" s="248" t="s">
        <v>1581</v>
      </c>
      <c r="D270" s="339">
        <v>6.1020000000000003</v>
      </c>
      <c r="E270" s="340"/>
      <c r="F270" s="245"/>
      <c r="G270" s="246"/>
      <c r="H270" s="340">
        <v>0</v>
      </c>
      <c r="I270" s="245">
        <f t="shared" si="29"/>
        <v>0</v>
      </c>
      <c r="J270" s="247">
        <v>0</v>
      </c>
      <c r="K270" s="245">
        <f t="shared" si="32"/>
        <v>0</v>
      </c>
      <c r="L270" s="262">
        <f t="shared" si="30"/>
        <v>0</v>
      </c>
      <c r="M270" s="245">
        <f t="shared" si="31"/>
        <v>0</v>
      </c>
      <c r="N270" s="247">
        <v>0</v>
      </c>
      <c r="O270" s="245">
        <f t="shared" si="33"/>
        <v>0</v>
      </c>
      <c r="P270" s="433" t="s">
        <v>1488</v>
      </c>
      <c r="Q270" s="433">
        <v>2019</v>
      </c>
    </row>
    <row r="271" spans="1:17" ht="60">
      <c r="A271" s="258">
        <v>261</v>
      </c>
      <c r="B271" s="252" t="s">
        <v>1582</v>
      </c>
      <c r="C271" s="248" t="s">
        <v>1583</v>
      </c>
      <c r="D271" s="339">
        <v>24.890999999999998</v>
      </c>
      <c r="E271" s="340"/>
      <c r="F271" s="245"/>
      <c r="G271" s="246"/>
      <c r="H271" s="340">
        <v>0</v>
      </c>
      <c r="I271" s="245">
        <f t="shared" si="29"/>
        <v>0</v>
      </c>
      <c r="J271" s="247">
        <v>0</v>
      </c>
      <c r="K271" s="245">
        <f t="shared" si="32"/>
        <v>0</v>
      </c>
      <c r="L271" s="262">
        <f t="shared" si="30"/>
        <v>0</v>
      </c>
      <c r="M271" s="245">
        <f t="shared" si="31"/>
        <v>0</v>
      </c>
      <c r="N271" s="247">
        <v>0</v>
      </c>
      <c r="O271" s="245">
        <f t="shared" si="33"/>
        <v>0</v>
      </c>
      <c r="P271" s="433" t="s">
        <v>1488</v>
      </c>
      <c r="Q271" s="433">
        <v>2019</v>
      </c>
    </row>
    <row r="272" spans="1:17" ht="60">
      <c r="A272" s="258">
        <v>262</v>
      </c>
      <c r="B272" s="252" t="s">
        <v>940</v>
      </c>
      <c r="C272" s="248" t="s">
        <v>941</v>
      </c>
      <c r="D272" s="339">
        <v>41.697000000000003</v>
      </c>
      <c r="E272" s="340"/>
      <c r="F272" s="245"/>
      <c r="G272" s="246"/>
      <c r="H272" s="340">
        <v>0</v>
      </c>
      <c r="I272" s="245">
        <f t="shared" si="29"/>
        <v>0</v>
      </c>
      <c r="J272" s="247">
        <v>0</v>
      </c>
      <c r="K272" s="245">
        <f t="shared" si="32"/>
        <v>0</v>
      </c>
      <c r="L272" s="262">
        <f t="shared" si="30"/>
        <v>0</v>
      </c>
      <c r="M272" s="245">
        <f t="shared" si="31"/>
        <v>0</v>
      </c>
      <c r="N272" s="247">
        <v>0</v>
      </c>
      <c r="O272" s="245">
        <f t="shared" si="33"/>
        <v>0</v>
      </c>
      <c r="P272" s="433" t="s">
        <v>1488</v>
      </c>
      <c r="Q272" s="433">
        <v>2019</v>
      </c>
    </row>
    <row r="273" spans="1:17" ht="30">
      <c r="A273" s="258">
        <v>263</v>
      </c>
      <c r="B273" s="252" t="s">
        <v>943</v>
      </c>
      <c r="C273" s="248" t="s">
        <v>944</v>
      </c>
      <c r="D273" s="339">
        <v>1.6419999999999999</v>
      </c>
      <c r="E273" s="340"/>
      <c r="F273" s="245"/>
      <c r="G273" s="246"/>
      <c r="H273" s="340">
        <v>0</v>
      </c>
      <c r="I273" s="245">
        <f t="shared" si="29"/>
        <v>0</v>
      </c>
      <c r="J273" s="247">
        <v>0</v>
      </c>
      <c r="K273" s="245">
        <f t="shared" si="32"/>
        <v>0</v>
      </c>
      <c r="L273" s="262">
        <f t="shared" si="30"/>
        <v>0</v>
      </c>
      <c r="M273" s="245">
        <f t="shared" si="31"/>
        <v>0</v>
      </c>
      <c r="N273" s="247">
        <v>0</v>
      </c>
      <c r="O273" s="245">
        <f t="shared" si="33"/>
        <v>0</v>
      </c>
      <c r="P273" s="433" t="s">
        <v>1488</v>
      </c>
      <c r="Q273" s="433">
        <v>2019</v>
      </c>
    </row>
    <row r="274" spans="1:17">
      <c r="A274" s="258">
        <v>264</v>
      </c>
      <c r="B274" s="252" t="s">
        <v>946</v>
      </c>
      <c r="C274" s="248" t="s">
        <v>947</v>
      </c>
      <c r="D274" s="339">
        <v>40.857999999999997</v>
      </c>
      <c r="E274" s="340"/>
      <c r="F274" s="245"/>
      <c r="G274" s="246"/>
      <c r="H274" s="340">
        <v>0</v>
      </c>
      <c r="I274" s="245">
        <f t="shared" si="29"/>
        <v>0</v>
      </c>
      <c r="J274" s="247">
        <v>0</v>
      </c>
      <c r="K274" s="245">
        <f t="shared" si="32"/>
        <v>0</v>
      </c>
      <c r="L274" s="262">
        <f t="shared" si="30"/>
        <v>0</v>
      </c>
      <c r="M274" s="245">
        <f t="shared" si="31"/>
        <v>0</v>
      </c>
      <c r="N274" s="247">
        <v>0</v>
      </c>
      <c r="O274" s="245">
        <f t="shared" si="33"/>
        <v>0</v>
      </c>
      <c r="P274" s="433" t="s">
        <v>1488</v>
      </c>
      <c r="Q274" s="433">
        <v>2019</v>
      </c>
    </row>
    <row r="275" spans="1:17" ht="30">
      <c r="A275" s="258">
        <v>265</v>
      </c>
      <c r="B275" s="252" t="s">
        <v>949</v>
      </c>
      <c r="C275" s="248" t="s">
        <v>950</v>
      </c>
      <c r="D275" s="339">
        <v>5.577</v>
      </c>
      <c r="E275" s="340"/>
      <c r="F275" s="245"/>
      <c r="G275" s="246"/>
      <c r="H275" s="340">
        <v>0</v>
      </c>
      <c r="I275" s="245">
        <f t="shared" si="29"/>
        <v>0</v>
      </c>
      <c r="J275" s="247">
        <v>0</v>
      </c>
      <c r="K275" s="245">
        <f t="shared" si="32"/>
        <v>0</v>
      </c>
      <c r="L275" s="262">
        <f t="shared" si="30"/>
        <v>0</v>
      </c>
      <c r="M275" s="245">
        <v>0</v>
      </c>
      <c r="N275" s="247">
        <v>0</v>
      </c>
      <c r="O275" s="245">
        <f t="shared" si="33"/>
        <v>0</v>
      </c>
      <c r="P275" s="433" t="s">
        <v>1488</v>
      </c>
      <c r="Q275" s="433">
        <v>2019</v>
      </c>
    </row>
    <row r="276" spans="1:17" ht="30">
      <c r="A276" s="258">
        <v>266</v>
      </c>
      <c r="B276" s="252" t="s">
        <v>1584</v>
      </c>
      <c r="C276" s="248" t="s">
        <v>1585</v>
      </c>
      <c r="D276" s="339">
        <v>8.1929999999999996</v>
      </c>
      <c r="E276" s="340"/>
      <c r="F276" s="245"/>
      <c r="G276" s="246"/>
      <c r="H276" s="340">
        <v>0</v>
      </c>
      <c r="I276" s="245">
        <f t="shared" si="29"/>
        <v>0</v>
      </c>
      <c r="J276" s="247">
        <v>0</v>
      </c>
      <c r="K276" s="245">
        <f t="shared" si="32"/>
        <v>0</v>
      </c>
      <c r="L276" s="262">
        <f t="shared" si="30"/>
        <v>0</v>
      </c>
      <c r="M276" s="245">
        <f t="shared" ref="M276:M339" si="34">L276/D276</f>
        <v>0</v>
      </c>
      <c r="N276" s="247">
        <v>0</v>
      </c>
      <c r="O276" s="245">
        <f t="shared" si="33"/>
        <v>0</v>
      </c>
      <c r="P276" s="433" t="s">
        <v>1488</v>
      </c>
      <c r="Q276" s="433">
        <v>2019</v>
      </c>
    </row>
    <row r="277" spans="1:17" ht="30">
      <c r="A277" s="258">
        <v>267</v>
      </c>
      <c r="B277" s="252" t="s">
        <v>1586</v>
      </c>
      <c r="C277" s="248" t="s">
        <v>1587</v>
      </c>
      <c r="D277" s="339">
        <v>0.4</v>
      </c>
      <c r="E277" s="340"/>
      <c r="F277" s="245"/>
      <c r="G277" s="246"/>
      <c r="H277" s="340">
        <v>0</v>
      </c>
      <c r="I277" s="245">
        <f t="shared" si="29"/>
        <v>0</v>
      </c>
      <c r="J277" s="247">
        <v>0</v>
      </c>
      <c r="K277" s="245">
        <f t="shared" si="32"/>
        <v>0</v>
      </c>
      <c r="L277" s="262">
        <f t="shared" si="30"/>
        <v>0</v>
      </c>
      <c r="M277" s="245">
        <f t="shared" si="34"/>
        <v>0</v>
      </c>
      <c r="N277" s="247">
        <v>0</v>
      </c>
      <c r="O277" s="245">
        <f t="shared" si="33"/>
        <v>0</v>
      </c>
      <c r="P277" s="433" t="s">
        <v>1488</v>
      </c>
      <c r="Q277" s="433">
        <v>2019</v>
      </c>
    </row>
    <row r="278" spans="1:17" ht="30">
      <c r="A278" s="258">
        <v>268</v>
      </c>
      <c r="B278" s="252" t="s">
        <v>1588</v>
      </c>
      <c r="C278" s="248" t="s">
        <v>1589</v>
      </c>
      <c r="D278" s="339">
        <v>18.309999999999999</v>
      </c>
      <c r="E278" s="340"/>
      <c r="F278" s="245"/>
      <c r="G278" s="246"/>
      <c r="H278" s="340">
        <v>0.19</v>
      </c>
      <c r="I278" s="245">
        <f t="shared" si="29"/>
        <v>1.0376843255051884E-2</v>
      </c>
      <c r="J278" s="247">
        <v>0</v>
      </c>
      <c r="K278" s="245">
        <f t="shared" si="32"/>
        <v>0</v>
      </c>
      <c r="L278" s="262">
        <f t="shared" si="30"/>
        <v>0</v>
      </c>
      <c r="M278" s="245">
        <f t="shared" si="34"/>
        <v>0</v>
      </c>
      <c r="N278" s="247">
        <v>0</v>
      </c>
      <c r="O278" s="245">
        <f t="shared" si="33"/>
        <v>0</v>
      </c>
      <c r="P278" s="433" t="s">
        <v>1488</v>
      </c>
      <c r="Q278" s="433">
        <v>2019</v>
      </c>
    </row>
    <row r="279" spans="1:17" ht="30">
      <c r="A279" s="258">
        <v>269</v>
      </c>
      <c r="B279" s="252" t="s">
        <v>1590</v>
      </c>
      <c r="C279" s="248" t="s">
        <v>1591</v>
      </c>
      <c r="D279" s="339">
        <v>28.786999999999999</v>
      </c>
      <c r="E279" s="340"/>
      <c r="F279" s="245"/>
      <c r="G279" s="246"/>
      <c r="H279" s="340">
        <v>0</v>
      </c>
      <c r="I279" s="245">
        <f t="shared" si="29"/>
        <v>0</v>
      </c>
      <c r="J279" s="247">
        <v>0</v>
      </c>
      <c r="K279" s="245">
        <f t="shared" si="32"/>
        <v>0</v>
      </c>
      <c r="L279" s="262">
        <f t="shared" si="30"/>
        <v>0</v>
      </c>
      <c r="M279" s="245">
        <f t="shared" si="34"/>
        <v>0</v>
      </c>
      <c r="N279" s="247">
        <v>0</v>
      </c>
      <c r="O279" s="245">
        <f t="shared" si="33"/>
        <v>0</v>
      </c>
      <c r="P279" s="433" t="s">
        <v>1488</v>
      </c>
      <c r="Q279" s="433">
        <v>2019</v>
      </c>
    </row>
    <row r="280" spans="1:17" ht="45">
      <c r="A280" s="258">
        <v>270</v>
      </c>
      <c r="B280" s="252" t="s">
        <v>1592</v>
      </c>
      <c r="C280" s="248" t="s">
        <v>1593</v>
      </c>
      <c r="D280" s="339">
        <v>1.45</v>
      </c>
      <c r="E280" s="340"/>
      <c r="F280" s="245"/>
      <c r="G280" s="246"/>
      <c r="H280" s="340">
        <v>0</v>
      </c>
      <c r="I280" s="245">
        <f t="shared" si="29"/>
        <v>0</v>
      </c>
      <c r="J280" s="247">
        <v>0</v>
      </c>
      <c r="K280" s="245">
        <f t="shared" si="32"/>
        <v>0</v>
      </c>
      <c r="L280" s="262">
        <f t="shared" si="30"/>
        <v>0</v>
      </c>
      <c r="M280" s="245">
        <f t="shared" si="34"/>
        <v>0</v>
      </c>
      <c r="N280" s="247">
        <v>0</v>
      </c>
      <c r="O280" s="245">
        <f t="shared" si="33"/>
        <v>0</v>
      </c>
      <c r="P280" s="433" t="s">
        <v>1488</v>
      </c>
      <c r="Q280" s="433">
        <v>2019</v>
      </c>
    </row>
    <row r="281" spans="1:17" ht="45">
      <c r="A281" s="258">
        <v>271</v>
      </c>
      <c r="B281" s="252" t="s">
        <v>1594</v>
      </c>
      <c r="C281" s="248" t="s">
        <v>1595</v>
      </c>
      <c r="D281" s="339">
        <v>4.13</v>
      </c>
      <c r="E281" s="340"/>
      <c r="F281" s="245"/>
      <c r="G281" s="246"/>
      <c r="H281" s="340">
        <v>0</v>
      </c>
      <c r="I281" s="245">
        <f t="shared" si="29"/>
        <v>0</v>
      </c>
      <c r="J281" s="247">
        <v>0</v>
      </c>
      <c r="K281" s="245">
        <f t="shared" si="32"/>
        <v>0</v>
      </c>
      <c r="L281" s="262">
        <f t="shared" si="30"/>
        <v>0</v>
      </c>
      <c r="M281" s="245">
        <f t="shared" si="34"/>
        <v>0</v>
      </c>
      <c r="N281" s="247">
        <v>0</v>
      </c>
      <c r="O281" s="245">
        <f t="shared" si="33"/>
        <v>0</v>
      </c>
      <c r="P281" s="433" t="s">
        <v>1488</v>
      </c>
      <c r="Q281" s="433">
        <v>2019</v>
      </c>
    </row>
    <row r="282" spans="1:17" ht="30">
      <c r="A282" s="258">
        <v>272</v>
      </c>
      <c r="B282" s="252" t="s">
        <v>1596</v>
      </c>
      <c r="C282" s="248" t="s">
        <v>1597</v>
      </c>
      <c r="D282" s="339">
        <v>11.52</v>
      </c>
      <c r="E282" s="340"/>
      <c r="F282" s="245"/>
      <c r="G282" s="246"/>
      <c r="H282" s="340">
        <v>0</v>
      </c>
      <c r="I282" s="245">
        <f t="shared" si="29"/>
        <v>0</v>
      </c>
      <c r="J282" s="247">
        <v>0</v>
      </c>
      <c r="K282" s="245">
        <f t="shared" si="32"/>
        <v>0</v>
      </c>
      <c r="L282" s="262">
        <f t="shared" si="30"/>
        <v>0</v>
      </c>
      <c r="M282" s="245">
        <f t="shared" si="34"/>
        <v>0</v>
      </c>
      <c r="N282" s="247">
        <v>0</v>
      </c>
      <c r="O282" s="245">
        <f t="shared" si="33"/>
        <v>0</v>
      </c>
      <c r="P282" s="433" t="s">
        <v>1488</v>
      </c>
      <c r="Q282" s="433">
        <v>2019</v>
      </c>
    </row>
    <row r="283" spans="1:17">
      <c r="A283" s="258">
        <v>273</v>
      </c>
      <c r="B283" s="252" t="s">
        <v>1598</v>
      </c>
      <c r="C283" s="248" t="s">
        <v>1599</v>
      </c>
      <c r="D283" s="339">
        <v>18.8</v>
      </c>
      <c r="E283" s="340"/>
      <c r="F283" s="245"/>
      <c r="G283" s="246"/>
      <c r="H283" s="340">
        <v>0</v>
      </c>
      <c r="I283" s="245">
        <f t="shared" si="29"/>
        <v>0</v>
      </c>
      <c r="J283" s="247">
        <v>0</v>
      </c>
      <c r="K283" s="245">
        <f t="shared" si="32"/>
        <v>0</v>
      </c>
      <c r="L283" s="262">
        <f t="shared" si="30"/>
        <v>0</v>
      </c>
      <c r="M283" s="245">
        <f t="shared" si="34"/>
        <v>0</v>
      </c>
      <c r="N283" s="247">
        <v>0</v>
      </c>
      <c r="O283" s="245">
        <f t="shared" si="33"/>
        <v>0</v>
      </c>
      <c r="P283" s="433" t="s">
        <v>1488</v>
      </c>
      <c r="Q283" s="433">
        <v>2019</v>
      </c>
    </row>
    <row r="284" spans="1:17" ht="30">
      <c r="A284" s="258">
        <v>274</v>
      </c>
      <c r="B284" s="252" t="s">
        <v>1600</v>
      </c>
      <c r="C284" s="248" t="s">
        <v>1601</v>
      </c>
      <c r="D284" s="339">
        <v>0.57999999999999996</v>
      </c>
      <c r="E284" s="340"/>
      <c r="F284" s="245"/>
      <c r="G284" s="246"/>
      <c r="H284" s="340">
        <v>0</v>
      </c>
      <c r="I284" s="245">
        <f t="shared" si="29"/>
        <v>0</v>
      </c>
      <c r="J284" s="247">
        <v>0</v>
      </c>
      <c r="K284" s="245">
        <f t="shared" si="32"/>
        <v>0</v>
      </c>
      <c r="L284" s="262">
        <f t="shared" si="30"/>
        <v>0</v>
      </c>
      <c r="M284" s="245">
        <f t="shared" si="34"/>
        <v>0</v>
      </c>
      <c r="N284" s="247">
        <v>0</v>
      </c>
      <c r="O284" s="245">
        <f t="shared" si="33"/>
        <v>0</v>
      </c>
      <c r="P284" s="433" t="s">
        <v>1488</v>
      </c>
      <c r="Q284" s="433">
        <v>2019</v>
      </c>
    </row>
    <row r="285" spans="1:17" ht="45">
      <c r="A285" s="258">
        <v>275</v>
      </c>
      <c r="B285" s="252" t="s">
        <v>1602</v>
      </c>
      <c r="C285" s="248" t="s">
        <v>1603</v>
      </c>
      <c r="D285" s="339">
        <v>63.92</v>
      </c>
      <c r="E285" s="340"/>
      <c r="F285" s="245"/>
      <c r="G285" s="246"/>
      <c r="H285" s="340">
        <v>0</v>
      </c>
      <c r="I285" s="245">
        <f t="shared" si="29"/>
        <v>0</v>
      </c>
      <c r="J285" s="247">
        <v>0</v>
      </c>
      <c r="K285" s="245">
        <f t="shared" si="32"/>
        <v>0</v>
      </c>
      <c r="L285" s="262">
        <f t="shared" si="30"/>
        <v>0</v>
      </c>
      <c r="M285" s="245">
        <f t="shared" si="34"/>
        <v>0</v>
      </c>
      <c r="N285" s="247">
        <v>0</v>
      </c>
      <c r="O285" s="245">
        <f t="shared" si="33"/>
        <v>0</v>
      </c>
      <c r="P285" s="433" t="s">
        <v>1488</v>
      </c>
      <c r="Q285" s="433">
        <v>2019</v>
      </c>
    </row>
    <row r="286" spans="1:17" ht="30">
      <c r="A286" s="258">
        <v>276</v>
      </c>
      <c r="B286" s="252" t="s">
        <v>1604</v>
      </c>
      <c r="C286" s="248" t="s">
        <v>1605</v>
      </c>
      <c r="D286" s="339">
        <v>19.2</v>
      </c>
      <c r="E286" s="340"/>
      <c r="F286" s="245"/>
      <c r="G286" s="246"/>
      <c r="H286" s="340">
        <v>0</v>
      </c>
      <c r="I286" s="245">
        <f t="shared" si="29"/>
        <v>0</v>
      </c>
      <c r="J286" s="247">
        <v>0</v>
      </c>
      <c r="K286" s="245">
        <f t="shared" si="32"/>
        <v>0</v>
      </c>
      <c r="L286" s="262">
        <f t="shared" si="30"/>
        <v>0</v>
      </c>
      <c r="M286" s="245">
        <f t="shared" si="34"/>
        <v>0</v>
      </c>
      <c r="N286" s="247">
        <v>0</v>
      </c>
      <c r="O286" s="245">
        <f t="shared" si="33"/>
        <v>0</v>
      </c>
      <c r="P286" s="433" t="s">
        <v>1488</v>
      </c>
      <c r="Q286" s="433">
        <v>2019</v>
      </c>
    </row>
    <row r="287" spans="1:17" ht="30">
      <c r="A287" s="258">
        <v>277</v>
      </c>
      <c r="B287" s="252" t="s">
        <v>1606</v>
      </c>
      <c r="C287" s="248" t="s">
        <v>1607</v>
      </c>
      <c r="D287" s="339">
        <v>8.8000000000000007</v>
      </c>
      <c r="E287" s="340"/>
      <c r="F287" s="245"/>
      <c r="G287" s="246"/>
      <c r="H287" s="340">
        <v>0</v>
      </c>
      <c r="I287" s="245">
        <f t="shared" si="29"/>
        <v>0</v>
      </c>
      <c r="J287" s="247">
        <v>0</v>
      </c>
      <c r="K287" s="245">
        <f t="shared" si="32"/>
        <v>0</v>
      </c>
      <c r="L287" s="262">
        <f t="shared" si="30"/>
        <v>0</v>
      </c>
      <c r="M287" s="245">
        <f t="shared" si="34"/>
        <v>0</v>
      </c>
      <c r="N287" s="247">
        <v>0</v>
      </c>
      <c r="O287" s="245">
        <f t="shared" si="33"/>
        <v>0</v>
      </c>
      <c r="P287" s="433" t="s">
        <v>1488</v>
      </c>
      <c r="Q287" s="433">
        <v>2019</v>
      </c>
    </row>
    <row r="288" spans="1:17" ht="30">
      <c r="A288" s="258">
        <v>278</v>
      </c>
      <c r="B288" s="252" t="s">
        <v>952</v>
      </c>
      <c r="C288" s="248" t="s">
        <v>953</v>
      </c>
      <c r="D288" s="339">
        <v>29.32</v>
      </c>
      <c r="E288" s="340"/>
      <c r="F288" s="245"/>
      <c r="G288" s="246"/>
      <c r="H288" s="340">
        <v>0</v>
      </c>
      <c r="I288" s="245">
        <f t="shared" si="29"/>
        <v>0</v>
      </c>
      <c r="J288" s="247">
        <v>0</v>
      </c>
      <c r="K288" s="245">
        <f t="shared" si="32"/>
        <v>0</v>
      </c>
      <c r="L288" s="262">
        <f t="shared" si="30"/>
        <v>0</v>
      </c>
      <c r="M288" s="245">
        <f t="shared" si="34"/>
        <v>0</v>
      </c>
      <c r="N288" s="247">
        <v>0</v>
      </c>
      <c r="O288" s="245">
        <f t="shared" si="33"/>
        <v>0</v>
      </c>
      <c r="P288" s="433" t="s">
        <v>1488</v>
      </c>
      <c r="Q288" s="433">
        <v>2019</v>
      </c>
    </row>
    <row r="289" spans="1:17" ht="45">
      <c r="A289" s="258">
        <v>279</v>
      </c>
      <c r="B289" s="252" t="s">
        <v>955</v>
      </c>
      <c r="C289" s="248" t="s">
        <v>956</v>
      </c>
      <c r="D289" s="339">
        <v>5.76</v>
      </c>
      <c r="E289" s="340"/>
      <c r="F289" s="245"/>
      <c r="G289" s="246"/>
      <c r="H289" s="340">
        <v>0</v>
      </c>
      <c r="I289" s="245">
        <f t="shared" si="29"/>
        <v>0</v>
      </c>
      <c r="J289" s="247">
        <v>0</v>
      </c>
      <c r="K289" s="245">
        <f t="shared" si="32"/>
        <v>0</v>
      </c>
      <c r="L289" s="262">
        <f t="shared" si="30"/>
        <v>0</v>
      </c>
      <c r="M289" s="245">
        <f t="shared" si="34"/>
        <v>0</v>
      </c>
      <c r="N289" s="247">
        <v>0</v>
      </c>
      <c r="O289" s="245">
        <f t="shared" si="33"/>
        <v>0</v>
      </c>
      <c r="P289" s="433" t="s">
        <v>1488</v>
      </c>
      <c r="Q289" s="433">
        <v>2019</v>
      </c>
    </row>
    <row r="290" spans="1:17" ht="30">
      <c r="A290" s="258">
        <v>280</v>
      </c>
      <c r="B290" s="252" t="s">
        <v>958</v>
      </c>
      <c r="C290" s="248" t="s">
        <v>959</v>
      </c>
      <c r="D290" s="339">
        <v>0.45</v>
      </c>
      <c r="E290" s="340"/>
      <c r="F290" s="245"/>
      <c r="G290" s="246"/>
      <c r="H290" s="340">
        <v>0</v>
      </c>
      <c r="I290" s="245">
        <f t="shared" si="29"/>
        <v>0</v>
      </c>
      <c r="J290" s="247">
        <v>0</v>
      </c>
      <c r="K290" s="245">
        <f t="shared" si="32"/>
        <v>0</v>
      </c>
      <c r="L290" s="262">
        <f t="shared" si="30"/>
        <v>0</v>
      </c>
      <c r="M290" s="245">
        <f t="shared" si="34"/>
        <v>0</v>
      </c>
      <c r="N290" s="247">
        <v>0</v>
      </c>
      <c r="O290" s="245">
        <f t="shared" si="33"/>
        <v>0</v>
      </c>
      <c r="P290" s="433" t="s">
        <v>1488</v>
      </c>
      <c r="Q290" s="433">
        <v>2019</v>
      </c>
    </row>
    <row r="291" spans="1:17" ht="30">
      <c r="A291" s="258">
        <v>281</v>
      </c>
      <c r="B291" s="252" t="s">
        <v>961</v>
      </c>
      <c r="C291" s="248" t="s">
        <v>962</v>
      </c>
      <c r="D291" s="339">
        <v>29.96</v>
      </c>
      <c r="E291" s="340"/>
      <c r="F291" s="245"/>
      <c r="G291" s="246"/>
      <c r="H291" s="340">
        <v>0</v>
      </c>
      <c r="I291" s="245">
        <f t="shared" si="29"/>
        <v>0</v>
      </c>
      <c r="J291" s="247">
        <v>0</v>
      </c>
      <c r="K291" s="245">
        <f t="shared" si="32"/>
        <v>0</v>
      </c>
      <c r="L291" s="262">
        <f t="shared" si="30"/>
        <v>0</v>
      </c>
      <c r="M291" s="245">
        <f t="shared" si="34"/>
        <v>0</v>
      </c>
      <c r="N291" s="247">
        <v>0</v>
      </c>
      <c r="O291" s="245">
        <f t="shared" si="33"/>
        <v>0</v>
      </c>
      <c r="P291" s="433" t="s">
        <v>1488</v>
      </c>
      <c r="Q291" s="433">
        <v>2019</v>
      </c>
    </row>
    <row r="292" spans="1:17" ht="45">
      <c r="A292" s="258">
        <v>282</v>
      </c>
      <c r="B292" s="252" t="s">
        <v>1608</v>
      </c>
      <c r="C292" s="248" t="s">
        <v>1609</v>
      </c>
      <c r="D292" s="339">
        <v>0.72</v>
      </c>
      <c r="E292" s="340"/>
      <c r="F292" s="245"/>
      <c r="G292" s="246"/>
      <c r="H292" s="340">
        <v>0</v>
      </c>
      <c r="I292" s="245">
        <f t="shared" si="29"/>
        <v>0</v>
      </c>
      <c r="J292" s="247">
        <v>0</v>
      </c>
      <c r="K292" s="245">
        <f t="shared" si="32"/>
        <v>0</v>
      </c>
      <c r="L292" s="262">
        <f t="shared" si="30"/>
        <v>0</v>
      </c>
      <c r="M292" s="245">
        <f t="shared" si="34"/>
        <v>0</v>
      </c>
      <c r="N292" s="247">
        <v>0</v>
      </c>
      <c r="O292" s="245">
        <f t="shared" si="33"/>
        <v>0</v>
      </c>
      <c r="P292" s="433" t="s">
        <v>1488</v>
      </c>
      <c r="Q292" s="433">
        <v>2019</v>
      </c>
    </row>
    <row r="293" spans="1:17" ht="30">
      <c r="A293" s="258">
        <v>283</v>
      </c>
      <c r="B293" s="252" t="s">
        <v>1610</v>
      </c>
      <c r="C293" s="248" t="s">
        <v>1611</v>
      </c>
      <c r="D293" s="339">
        <v>12.91</v>
      </c>
      <c r="E293" s="340"/>
      <c r="F293" s="245"/>
      <c r="G293" s="246"/>
      <c r="H293" s="340">
        <v>0</v>
      </c>
      <c r="I293" s="245">
        <f t="shared" ref="I293:I356" si="35">H293/D293</f>
        <v>0</v>
      </c>
      <c r="J293" s="247">
        <v>0</v>
      </c>
      <c r="K293" s="245">
        <f t="shared" si="32"/>
        <v>0</v>
      </c>
      <c r="L293" s="262">
        <f t="shared" si="30"/>
        <v>0</v>
      </c>
      <c r="M293" s="245">
        <f t="shared" si="34"/>
        <v>0</v>
      </c>
      <c r="N293" s="247">
        <v>0</v>
      </c>
      <c r="O293" s="245">
        <f t="shared" si="33"/>
        <v>0</v>
      </c>
      <c r="P293" s="433" t="s">
        <v>1488</v>
      </c>
      <c r="Q293" s="433">
        <v>2019</v>
      </c>
    </row>
    <row r="294" spans="1:17" ht="60">
      <c r="A294" s="258">
        <v>284</v>
      </c>
      <c r="B294" s="252" t="s">
        <v>1612</v>
      </c>
      <c r="C294" s="248" t="s">
        <v>1613</v>
      </c>
      <c r="D294" s="339">
        <v>6.556</v>
      </c>
      <c r="E294" s="340"/>
      <c r="F294" s="245"/>
      <c r="G294" s="246"/>
      <c r="H294" s="340">
        <v>0</v>
      </c>
      <c r="I294" s="245">
        <f t="shared" si="35"/>
        <v>0</v>
      </c>
      <c r="J294" s="247">
        <v>0</v>
      </c>
      <c r="K294" s="245">
        <f t="shared" si="32"/>
        <v>0</v>
      </c>
      <c r="L294" s="262">
        <f t="shared" si="30"/>
        <v>0</v>
      </c>
      <c r="M294" s="245">
        <f t="shared" si="34"/>
        <v>0</v>
      </c>
      <c r="N294" s="247">
        <v>0</v>
      </c>
      <c r="O294" s="245">
        <f t="shared" si="33"/>
        <v>0</v>
      </c>
      <c r="P294" s="433" t="s">
        <v>1488</v>
      </c>
      <c r="Q294" s="433">
        <v>2019</v>
      </c>
    </row>
    <row r="295" spans="1:17" ht="60">
      <c r="A295" s="258">
        <v>285</v>
      </c>
      <c r="B295" s="252" t="s">
        <v>1614</v>
      </c>
      <c r="C295" s="248" t="s">
        <v>1615</v>
      </c>
      <c r="D295" s="339">
        <v>9.33</v>
      </c>
      <c r="E295" s="340"/>
      <c r="F295" s="245"/>
      <c r="G295" s="246"/>
      <c r="H295" s="340">
        <v>0</v>
      </c>
      <c r="I295" s="245">
        <f t="shared" si="35"/>
        <v>0</v>
      </c>
      <c r="J295" s="247">
        <v>0</v>
      </c>
      <c r="K295" s="245">
        <f t="shared" si="32"/>
        <v>0</v>
      </c>
      <c r="L295" s="262">
        <f t="shared" si="30"/>
        <v>0</v>
      </c>
      <c r="M295" s="245">
        <f t="shared" si="34"/>
        <v>0</v>
      </c>
      <c r="N295" s="247">
        <v>0</v>
      </c>
      <c r="O295" s="245">
        <f t="shared" si="33"/>
        <v>0</v>
      </c>
      <c r="P295" s="433" t="s">
        <v>1488</v>
      </c>
      <c r="Q295" s="433">
        <v>2019</v>
      </c>
    </row>
    <row r="296" spans="1:17" ht="45">
      <c r="A296" s="258">
        <v>286</v>
      </c>
      <c r="B296" s="252" t="s">
        <v>1616</v>
      </c>
      <c r="C296" s="248" t="s">
        <v>1617</v>
      </c>
      <c r="D296" s="339">
        <v>14.98</v>
      </c>
      <c r="E296" s="340"/>
      <c r="F296" s="245"/>
      <c r="G296" s="246"/>
      <c r="H296" s="340">
        <v>0</v>
      </c>
      <c r="I296" s="245">
        <f t="shared" si="35"/>
        <v>0</v>
      </c>
      <c r="J296" s="247">
        <v>0</v>
      </c>
      <c r="K296" s="245">
        <f t="shared" si="32"/>
        <v>0</v>
      </c>
      <c r="L296" s="262">
        <f t="shared" si="30"/>
        <v>0</v>
      </c>
      <c r="M296" s="245">
        <f t="shared" si="34"/>
        <v>0</v>
      </c>
      <c r="N296" s="247">
        <v>0</v>
      </c>
      <c r="O296" s="245">
        <f t="shared" si="33"/>
        <v>0</v>
      </c>
      <c r="P296" s="433" t="s">
        <v>1488</v>
      </c>
      <c r="Q296" s="433">
        <v>2019</v>
      </c>
    </row>
    <row r="297" spans="1:17" ht="45">
      <c r="A297" s="258">
        <v>287</v>
      </c>
      <c r="B297" s="252" t="s">
        <v>1618</v>
      </c>
      <c r="C297" s="248" t="s">
        <v>1619</v>
      </c>
      <c r="D297" s="339">
        <v>10.039999999999999</v>
      </c>
      <c r="E297" s="340"/>
      <c r="F297" s="245"/>
      <c r="G297" s="246"/>
      <c r="H297" s="340">
        <v>0</v>
      </c>
      <c r="I297" s="245">
        <f t="shared" si="35"/>
        <v>0</v>
      </c>
      <c r="J297" s="247">
        <v>0</v>
      </c>
      <c r="K297" s="245">
        <f t="shared" si="32"/>
        <v>0</v>
      </c>
      <c r="L297" s="262">
        <f t="shared" si="30"/>
        <v>0</v>
      </c>
      <c r="M297" s="245">
        <f t="shared" si="34"/>
        <v>0</v>
      </c>
      <c r="N297" s="247">
        <v>0</v>
      </c>
      <c r="O297" s="245">
        <f t="shared" si="33"/>
        <v>0</v>
      </c>
      <c r="P297" s="433" t="s">
        <v>1488</v>
      </c>
      <c r="Q297" s="433">
        <v>2019</v>
      </c>
    </row>
    <row r="298" spans="1:17" ht="45">
      <c r="A298" s="258">
        <v>288</v>
      </c>
      <c r="B298" s="252" t="s">
        <v>1620</v>
      </c>
      <c r="C298" s="248" t="s">
        <v>1621</v>
      </c>
      <c r="D298" s="339">
        <v>0.78</v>
      </c>
      <c r="E298" s="340"/>
      <c r="F298" s="245"/>
      <c r="G298" s="246"/>
      <c r="H298" s="340">
        <v>0</v>
      </c>
      <c r="I298" s="245">
        <f t="shared" si="35"/>
        <v>0</v>
      </c>
      <c r="J298" s="247">
        <v>0</v>
      </c>
      <c r="K298" s="245">
        <f t="shared" si="32"/>
        <v>0</v>
      </c>
      <c r="L298" s="262">
        <f t="shared" si="30"/>
        <v>0</v>
      </c>
      <c r="M298" s="245">
        <f t="shared" si="34"/>
        <v>0</v>
      </c>
      <c r="N298" s="247">
        <v>0</v>
      </c>
      <c r="O298" s="245">
        <f t="shared" si="33"/>
        <v>0</v>
      </c>
      <c r="P298" s="433" t="s">
        <v>1488</v>
      </c>
      <c r="Q298" s="433">
        <v>2019</v>
      </c>
    </row>
    <row r="299" spans="1:17">
      <c r="A299" s="258">
        <v>289</v>
      </c>
      <c r="B299" s="252" t="s">
        <v>1622</v>
      </c>
      <c r="C299" s="248" t="s">
        <v>1623</v>
      </c>
      <c r="D299" s="339">
        <v>23.390999999999998</v>
      </c>
      <c r="E299" s="340"/>
      <c r="F299" s="245"/>
      <c r="G299" s="246"/>
      <c r="H299" s="340">
        <v>8.1999999999999993</v>
      </c>
      <c r="I299" s="245">
        <f t="shared" si="35"/>
        <v>0.35056218203582573</v>
      </c>
      <c r="J299" s="247">
        <v>0</v>
      </c>
      <c r="K299" s="245">
        <f t="shared" si="32"/>
        <v>0</v>
      </c>
      <c r="L299" s="262">
        <f t="shared" si="30"/>
        <v>0</v>
      </c>
      <c r="M299" s="245">
        <f t="shared" si="34"/>
        <v>0</v>
      </c>
      <c r="N299" s="247">
        <v>0</v>
      </c>
      <c r="O299" s="245">
        <f t="shared" si="33"/>
        <v>0</v>
      </c>
      <c r="P299" s="433" t="s">
        <v>1488</v>
      </c>
      <c r="Q299" s="433">
        <v>2019</v>
      </c>
    </row>
    <row r="300" spans="1:17" ht="45">
      <c r="A300" s="258">
        <v>290</v>
      </c>
      <c r="B300" s="252" t="s">
        <v>1624</v>
      </c>
      <c r="C300" s="248" t="s">
        <v>1625</v>
      </c>
      <c r="D300" s="339">
        <v>9.9</v>
      </c>
      <c r="E300" s="340"/>
      <c r="F300" s="245"/>
      <c r="G300" s="246"/>
      <c r="H300" s="340">
        <v>0</v>
      </c>
      <c r="I300" s="245">
        <f t="shared" si="35"/>
        <v>0</v>
      </c>
      <c r="J300" s="247">
        <v>0</v>
      </c>
      <c r="K300" s="245">
        <f t="shared" si="32"/>
        <v>0</v>
      </c>
      <c r="L300" s="262">
        <f t="shared" si="30"/>
        <v>0</v>
      </c>
      <c r="M300" s="245">
        <f t="shared" si="34"/>
        <v>0</v>
      </c>
      <c r="N300" s="247">
        <v>0</v>
      </c>
      <c r="O300" s="245">
        <f t="shared" si="33"/>
        <v>0</v>
      </c>
      <c r="P300" s="433" t="s">
        <v>1488</v>
      </c>
      <c r="Q300" s="433">
        <v>2019</v>
      </c>
    </row>
    <row r="301" spans="1:17" ht="45">
      <c r="A301" s="258">
        <v>291</v>
      </c>
      <c r="B301" s="252" t="s">
        <v>1626</v>
      </c>
      <c r="C301" s="248" t="s">
        <v>1627</v>
      </c>
      <c r="D301" s="339">
        <v>6.6449999999999996</v>
      </c>
      <c r="E301" s="340"/>
      <c r="F301" s="245"/>
      <c r="G301" s="246"/>
      <c r="H301" s="340">
        <v>0</v>
      </c>
      <c r="I301" s="245">
        <f t="shared" si="35"/>
        <v>0</v>
      </c>
      <c r="J301" s="247">
        <v>0</v>
      </c>
      <c r="K301" s="245">
        <f t="shared" si="32"/>
        <v>0</v>
      </c>
      <c r="L301" s="262">
        <f t="shared" si="30"/>
        <v>0</v>
      </c>
      <c r="M301" s="245">
        <f t="shared" si="34"/>
        <v>0</v>
      </c>
      <c r="N301" s="247">
        <v>0</v>
      </c>
      <c r="O301" s="245">
        <f t="shared" si="33"/>
        <v>0</v>
      </c>
      <c r="P301" s="433" t="s">
        <v>1488</v>
      </c>
      <c r="Q301" s="433">
        <v>2019</v>
      </c>
    </row>
    <row r="302" spans="1:17">
      <c r="A302" s="258">
        <v>292</v>
      </c>
      <c r="B302" s="252" t="s">
        <v>1628</v>
      </c>
      <c r="C302" s="248" t="s">
        <v>1629</v>
      </c>
      <c r="D302" s="339">
        <v>1.9</v>
      </c>
      <c r="E302" s="340"/>
      <c r="F302" s="245"/>
      <c r="G302" s="246"/>
      <c r="H302" s="340">
        <v>0</v>
      </c>
      <c r="I302" s="245">
        <f t="shared" si="35"/>
        <v>0</v>
      </c>
      <c r="J302" s="247">
        <v>0</v>
      </c>
      <c r="K302" s="245">
        <f t="shared" si="32"/>
        <v>0</v>
      </c>
      <c r="L302" s="262">
        <f t="shared" si="30"/>
        <v>0</v>
      </c>
      <c r="M302" s="245">
        <f t="shared" si="34"/>
        <v>0</v>
      </c>
      <c r="N302" s="247">
        <v>0</v>
      </c>
      <c r="O302" s="245">
        <f t="shared" si="33"/>
        <v>0</v>
      </c>
      <c r="P302" s="433" t="s">
        <v>1488</v>
      </c>
      <c r="Q302" s="433">
        <v>2019</v>
      </c>
    </row>
    <row r="303" spans="1:17" ht="45">
      <c r="A303" s="258">
        <v>293</v>
      </c>
      <c r="B303" s="252" t="s">
        <v>1630</v>
      </c>
      <c r="C303" s="248" t="s">
        <v>1631</v>
      </c>
      <c r="D303" s="339">
        <v>0.54</v>
      </c>
      <c r="E303" s="340"/>
      <c r="F303" s="245"/>
      <c r="G303" s="246"/>
      <c r="H303" s="340">
        <v>0</v>
      </c>
      <c r="I303" s="245">
        <f t="shared" si="35"/>
        <v>0</v>
      </c>
      <c r="J303" s="247">
        <v>0</v>
      </c>
      <c r="K303" s="245">
        <f t="shared" si="32"/>
        <v>0</v>
      </c>
      <c r="L303" s="262">
        <f t="shared" si="30"/>
        <v>0</v>
      </c>
      <c r="M303" s="245">
        <f t="shared" si="34"/>
        <v>0</v>
      </c>
      <c r="N303" s="247">
        <v>0</v>
      </c>
      <c r="O303" s="245">
        <f t="shared" si="33"/>
        <v>0</v>
      </c>
      <c r="P303" s="433" t="s">
        <v>1488</v>
      </c>
      <c r="Q303" s="433">
        <v>2019</v>
      </c>
    </row>
    <row r="304" spans="1:17" ht="30">
      <c r="A304" s="258">
        <v>294</v>
      </c>
      <c r="B304" s="252" t="s">
        <v>1632</v>
      </c>
      <c r="C304" s="248" t="s">
        <v>1633</v>
      </c>
      <c r="D304" s="339">
        <v>10.231999999999999</v>
      </c>
      <c r="E304" s="340"/>
      <c r="F304" s="245"/>
      <c r="G304" s="246"/>
      <c r="H304" s="340">
        <v>0</v>
      </c>
      <c r="I304" s="245">
        <f t="shared" si="35"/>
        <v>0</v>
      </c>
      <c r="J304" s="247">
        <v>0</v>
      </c>
      <c r="K304" s="245">
        <f t="shared" si="32"/>
        <v>0</v>
      </c>
      <c r="L304" s="262">
        <f t="shared" si="30"/>
        <v>0</v>
      </c>
      <c r="M304" s="245">
        <f t="shared" si="34"/>
        <v>0</v>
      </c>
      <c r="N304" s="247">
        <v>0</v>
      </c>
      <c r="O304" s="245">
        <f t="shared" si="33"/>
        <v>0</v>
      </c>
      <c r="P304" s="433" t="s">
        <v>1488</v>
      </c>
      <c r="Q304" s="433">
        <v>2019</v>
      </c>
    </row>
    <row r="305" spans="1:17" ht="30">
      <c r="A305" s="258">
        <v>295</v>
      </c>
      <c r="B305" s="252" t="s">
        <v>1634</v>
      </c>
      <c r="C305" s="248" t="s">
        <v>1635</v>
      </c>
      <c r="D305" s="339">
        <v>5.5060000000000002</v>
      </c>
      <c r="E305" s="340"/>
      <c r="F305" s="245"/>
      <c r="G305" s="246"/>
      <c r="H305" s="340">
        <v>0</v>
      </c>
      <c r="I305" s="245">
        <f t="shared" si="35"/>
        <v>0</v>
      </c>
      <c r="J305" s="247">
        <v>0</v>
      </c>
      <c r="K305" s="245">
        <f t="shared" si="32"/>
        <v>0</v>
      </c>
      <c r="L305" s="262">
        <f t="shared" si="30"/>
        <v>0</v>
      </c>
      <c r="M305" s="245">
        <f t="shared" si="34"/>
        <v>0</v>
      </c>
      <c r="N305" s="247">
        <v>0</v>
      </c>
      <c r="O305" s="245">
        <f t="shared" si="33"/>
        <v>0</v>
      </c>
      <c r="P305" s="433" t="s">
        <v>1488</v>
      </c>
      <c r="Q305" s="433">
        <v>2019</v>
      </c>
    </row>
    <row r="306" spans="1:17" ht="45">
      <c r="A306" s="258">
        <v>296</v>
      </c>
      <c r="B306" s="252" t="s">
        <v>1636</v>
      </c>
      <c r="C306" s="248" t="s">
        <v>1637</v>
      </c>
      <c r="D306" s="339">
        <v>12.223000000000001</v>
      </c>
      <c r="E306" s="340"/>
      <c r="F306" s="245"/>
      <c r="G306" s="246"/>
      <c r="H306" s="340">
        <v>0</v>
      </c>
      <c r="I306" s="245">
        <f t="shared" si="35"/>
        <v>0</v>
      </c>
      <c r="J306" s="247">
        <v>0</v>
      </c>
      <c r="K306" s="245">
        <f t="shared" si="32"/>
        <v>0</v>
      </c>
      <c r="L306" s="262">
        <f t="shared" si="30"/>
        <v>0</v>
      </c>
      <c r="M306" s="245">
        <f t="shared" si="34"/>
        <v>0</v>
      </c>
      <c r="N306" s="247">
        <v>0</v>
      </c>
      <c r="O306" s="245">
        <f t="shared" si="33"/>
        <v>0</v>
      </c>
      <c r="P306" s="433" t="s">
        <v>1488</v>
      </c>
      <c r="Q306" s="433">
        <v>2019</v>
      </c>
    </row>
    <row r="307" spans="1:17" ht="30">
      <c r="A307" s="258">
        <v>297</v>
      </c>
      <c r="B307" s="252" t="s">
        <v>1638</v>
      </c>
      <c r="C307" s="248" t="s">
        <v>1639</v>
      </c>
      <c r="D307" s="339">
        <v>4.2069999999999999</v>
      </c>
      <c r="E307" s="340"/>
      <c r="F307" s="245"/>
      <c r="G307" s="246"/>
      <c r="H307" s="340">
        <v>0</v>
      </c>
      <c r="I307" s="245">
        <f t="shared" si="35"/>
        <v>0</v>
      </c>
      <c r="J307" s="247">
        <v>0</v>
      </c>
      <c r="K307" s="245">
        <f t="shared" si="32"/>
        <v>0</v>
      </c>
      <c r="L307" s="262">
        <f t="shared" si="30"/>
        <v>0</v>
      </c>
      <c r="M307" s="245">
        <f t="shared" si="34"/>
        <v>0</v>
      </c>
      <c r="N307" s="247">
        <v>0</v>
      </c>
      <c r="O307" s="245">
        <f t="shared" si="33"/>
        <v>0</v>
      </c>
      <c r="P307" s="433" t="s">
        <v>1488</v>
      </c>
      <c r="Q307" s="433">
        <v>2019</v>
      </c>
    </row>
    <row r="308" spans="1:17" ht="30">
      <c r="A308" s="258">
        <v>298</v>
      </c>
      <c r="B308" s="252" t="s">
        <v>1640</v>
      </c>
      <c r="C308" s="248" t="s">
        <v>1641</v>
      </c>
      <c r="D308" s="339">
        <v>8.7970000000000006</v>
      </c>
      <c r="E308" s="340"/>
      <c r="F308" s="245"/>
      <c r="G308" s="246"/>
      <c r="H308" s="340">
        <v>0</v>
      </c>
      <c r="I308" s="245">
        <f t="shared" si="35"/>
        <v>0</v>
      </c>
      <c r="J308" s="247">
        <v>0</v>
      </c>
      <c r="K308" s="245">
        <f t="shared" si="32"/>
        <v>0</v>
      </c>
      <c r="L308" s="262">
        <f t="shared" si="30"/>
        <v>0</v>
      </c>
      <c r="M308" s="245">
        <f t="shared" si="34"/>
        <v>0</v>
      </c>
      <c r="N308" s="247">
        <v>0</v>
      </c>
      <c r="O308" s="245">
        <f t="shared" si="33"/>
        <v>0</v>
      </c>
      <c r="P308" s="433" t="s">
        <v>1488</v>
      </c>
      <c r="Q308" s="433">
        <v>2019</v>
      </c>
    </row>
    <row r="309" spans="1:17" ht="30">
      <c r="A309" s="258">
        <v>299</v>
      </c>
      <c r="B309" s="252" t="s">
        <v>1642</v>
      </c>
      <c r="C309" s="248" t="s">
        <v>1643</v>
      </c>
      <c r="D309" s="339">
        <v>6.032</v>
      </c>
      <c r="E309" s="340"/>
      <c r="F309" s="245"/>
      <c r="G309" s="246"/>
      <c r="H309" s="340">
        <v>0</v>
      </c>
      <c r="I309" s="245">
        <f t="shared" si="35"/>
        <v>0</v>
      </c>
      <c r="J309" s="247">
        <v>0</v>
      </c>
      <c r="K309" s="245">
        <f t="shared" si="32"/>
        <v>0</v>
      </c>
      <c r="L309" s="262">
        <f t="shared" si="30"/>
        <v>0</v>
      </c>
      <c r="M309" s="245">
        <f t="shared" si="34"/>
        <v>0</v>
      </c>
      <c r="N309" s="247">
        <v>0</v>
      </c>
      <c r="O309" s="245">
        <f t="shared" si="33"/>
        <v>0</v>
      </c>
      <c r="P309" s="433" t="s">
        <v>1488</v>
      </c>
      <c r="Q309" s="433">
        <v>2019</v>
      </c>
    </row>
    <row r="310" spans="1:17" ht="30">
      <c r="A310" s="258">
        <v>300</v>
      </c>
      <c r="B310" s="252" t="s">
        <v>1644</v>
      </c>
      <c r="C310" s="248" t="s">
        <v>1645</v>
      </c>
      <c r="D310" s="339">
        <v>0.90600000000000003</v>
      </c>
      <c r="E310" s="340"/>
      <c r="F310" s="245"/>
      <c r="G310" s="246"/>
      <c r="H310" s="340">
        <v>0</v>
      </c>
      <c r="I310" s="245">
        <f t="shared" si="35"/>
        <v>0</v>
      </c>
      <c r="J310" s="247">
        <v>0</v>
      </c>
      <c r="K310" s="245">
        <f t="shared" si="32"/>
        <v>0</v>
      </c>
      <c r="L310" s="262">
        <f t="shared" si="30"/>
        <v>0</v>
      </c>
      <c r="M310" s="245">
        <f t="shared" si="34"/>
        <v>0</v>
      </c>
      <c r="N310" s="247">
        <v>0</v>
      </c>
      <c r="O310" s="245">
        <f t="shared" si="33"/>
        <v>0</v>
      </c>
      <c r="P310" s="433" t="s">
        <v>1488</v>
      </c>
      <c r="Q310" s="433">
        <v>2019</v>
      </c>
    </row>
    <row r="311" spans="1:17" ht="45">
      <c r="A311" s="258">
        <v>301</v>
      </c>
      <c r="B311" s="252" t="s">
        <v>1646</v>
      </c>
      <c r="C311" s="248" t="s">
        <v>1647</v>
      </c>
      <c r="D311" s="339">
        <v>0.75800000000000001</v>
      </c>
      <c r="E311" s="340"/>
      <c r="F311" s="245"/>
      <c r="G311" s="246"/>
      <c r="H311" s="340">
        <v>0</v>
      </c>
      <c r="I311" s="245">
        <f t="shared" si="35"/>
        <v>0</v>
      </c>
      <c r="J311" s="247">
        <v>0</v>
      </c>
      <c r="K311" s="245">
        <f t="shared" si="32"/>
        <v>0</v>
      </c>
      <c r="L311" s="262">
        <f t="shared" si="30"/>
        <v>0</v>
      </c>
      <c r="M311" s="245">
        <f t="shared" si="34"/>
        <v>0</v>
      </c>
      <c r="N311" s="247">
        <v>0</v>
      </c>
      <c r="O311" s="245">
        <f t="shared" si="33"/>
        <v>0</v>
      </c>
      <c r="P311" s="433" t="s">
        <v>1488</v>
      </c>
      <c r="Q311" s="433">
        <v>2019</v>
      </c>
    </row>
    <row r="312" spans="1:17" ht="30">
      <c r="A312" s="258">
        <v>302</v>
      </c>
      <c r="B312" s="252" t="s">
        <v>1648</v>
      </c>
      <c r="C312" s="248" t="s">
        <v>1649</v>
      </c>
      <c r="D312" s="339">
        <v>45.441000000000003</v>
      </c>
      <c r="E312" s="340"/>
      <c r="F312" s="245"/>
      <c r="G312" s="246"/>
      <c r="H312" s="340">
        <v>31.8</v>
      </c>
      <c r="I312" s="245">
        <f>H312/D312</f>
        <v>0.69980854294579786</v>
      </c>
      <c r="J312" s="247">
        <v>0</v>
      </c>
      <c r="K312" s="245">
        <f t="shared" si="32"/>
        <v>0</v>
      </c>
      <c r="L312" s="262">
        <f t="shared" si="30"/>
        <v>0</v>
      </c>
      <c r="M312" s="245">
        <f t="shared" si="34"/>
        <v>0</v>
      </c>
      <c r="N312" s="247">
        <v>0</v>
      </c>
      <c r="O312" s="245">
        <f t="shared" si="33"/>
        <v>0</v>
      </c>
      <c r="P312" s="433" t="s">
        <v>1488</v>
      </c>
      <c r="Q312" s="433">
        <v>2019</v>
      </c>
    </row>
    <row r="313" spans="1:17" ht="30">
      <c r="A313" s="258">
        <v>303</v>
      </c>
      <c r="B313" s="252" t="s">
        <v>1650</v>
      </c>
      <c r="C313" s="248" t="s">
        <v>1651</v>
      </c>
      <c r="D313" s="339">
        <v>13.691000000000001</v>
      </c>
      <c r="E313" s="340"/>
      <c r="F313" s="245"/>
      <c r="G313" s="246"/>
      <c r="H313" s="340">
        <v>0</v>
      </c>
      <c r="I313" s="245">
        <f t="shared" si="35"/>
        <v>0</v>
      </c>
      <c r="J313" s="247">
        <v>0</v>
      </c>
      <c r="K313" s="245">
        <f t="shared" si="32"/>
        <v>0</v>
      </c>
      <c r="L313" s="262">
        <f t="shared" si="30"/>
        <v>0</v>
      </c>
      <c r="M313" s="245">
        <f t="shared" si="34"/>
        <v>0</v>
      </c>
      <c r="N313" s="247">
        <v>0</v>
      </c>
      <c r="O313" s="245">
        <f t="shared" si="33"/>
        <v>0</v>
      </c>
      <c r="P313" s="433" t="s">
        <v>1488</v>
      </c>
      <c r="Q313" s="433">
        <v>2019</v>
      </c>
    </row>
    <row r="314" spans="1:17" ht="30">
      <c r="A314" s="258">
        <v>304</v>
      </c>
      <c r="B314" s="252" t="s">
        <v>1652</v>
      </c>
      <c r="C314" s="248" t="s">
        <v>1653</v>
      </c>
      <c r="D314" s="339">
        <v>17.518000000000001</v>
      </c>
      <c r="E314" s="340"/>
      <c r="F314" s="245"/>
      <c r="G314" s="246"/>
      <c r="H314" s="340">
        <v>0</v>
      </c>
      <c r="I314" s="245">
        <f t="shared" si="35"/>
        <v>0</v>
      </c>
      <c r="J314" s="247">
        <v>0</v>
      </c>
      <c r="K314" s="245">
        <f t="shared" si="32"/>
        <v>0</v>
      </c>
      <c r="L314" s="262">
        <f t="shared" si="30"/>
        <v>0</v>
      </c>
      <c r="M314" s="245">
        <f t="shared" si="34"/>
        <v>0</v>
      </c>
      <c r="N314" s="247">
        <v>0</v>
      </c>
      <c r="O314" s="245">
        <f t="shared" si="33"/>
        <v>0</v>
      </c>
      <c r="P314" s="433" t="s">
        <v>1488</v>
      </c>
      <c r="Q314" s="433">
        <v>2019</v>
      </c>
    </row>
    <row r="315" spans="1:17">
      <c r="A315" s="258">
        <v>305</v>
      </c>
      <c r="B315" s="252" t="s">
        <v>1654</v>
      </c>
      <c r="C315" s="248" t="s">
        <v>1655</v>
      </c>
      <c r="D315" s="339">
        <v>16.190999999999999</v>
      </c>
      <c r="E315" s="340"/>
      <c r="F315" s="245"/>
      <c r="G315" s="246"/>
      <c r="H315" s="340">
        <v>0</v>
      </c>
      <c r="I315" s="245">
        <f t="shared" si="35"/>
        <v>0</v>
      </c>
      <c r="J315" s="247">
        <v>0</v>
      </c>
      <c r="K315" s="245">
        <f t="shared" si="32"/>
        <v>0</v>
      </c>
      <c r="L315" s="262">
        <f t="shared" si="30"/>
        <v>0</v>
      </c>
      <c r="M315" s="245">
        <f t="shared" si="34"/>
        <v>0</v>
      </c>
      <c r="N315" s="247">
        <v>0</v>
      </c>
      <c r="O315" s="245">
        <f t="shared" si="33"/>
        <v>0</v>
      </c>
      <c r="P315" s="433" t="s">
        <v>1488</v>
      </c>
      <c r="Q315" s="433">
        <v>2019</v>
      </c>
    </row>
    <row r="316" spans="1:17">
      <c r="A316" s="258">
        <v>306</v>
      </c>
      <c r="B316" s="252" t="s">
        <v>1656</v>
      </c>
      <c r="C316" s="248" t="s">
        <v>1657</v>
      </c>
      <c r="D316" s="339">
        <v>34.009</v>
      </c>
      <c r="E316" s="340"/>
      <c r="F316" s="245"/>
      <c r="G316" s="246"/>
      <c r="H316" s="340">
        <v>0</v>
      </c>
      <c r="I316" s="245">
        <f t="shared" si="35"/>
        <v>0</v>
      </c>
      <c r="J316" s="247">
        <v>0</v>
      </c>
      <c r="K316" s="245">
        <f t="shared" si="32"/>
        <v>0</v>
      </c>
      <c r="L316" s="262">
        <f t="shared" si="30"/>
        <v>0</v>
      </c>
      <c r="M316" s="245">
        <f t="shared" si="34"/>
        <v>0</v>
      </c>
      <c r="N316" s="247">
        <v>0</v>
      </c>
      <c r="O316" s="245">
        <f t="shared" si="33"/>
        <v>0</v>
      </c>
      <c r="P316" s="433" t="s">
        <v>1488</v>
      </c>
      <c r="Q316" s="433">
        <v>2019</v>
      </c>
    </row>
    <row r="317" spans="1:17" ht="30">
      <c r="A317" s="258">
        <v>307</v>
      </c>
      <c r="B317" s="252" t="s">
        <v>1658</v>
      </c>
      <c r="C317" s="248" t="s">
        <v>1659</v>
      </c>
      <c r="D317" s="339">
        <v>1.2909999999999999</v>
      </c>
      <c r="E317" s="340"/>
      <c r="F317" s="245"/>
      <c r="G317" s="246"/>
      <c r="H317" s="340">
        <v>0</v>
      </c>
      <c r="I317" s="245">
        <f t="shared" si="35"/>
        <v>0</v>
      </c>
      <c r="J317" s="247">
        <v>0</v>
      </c>
      <c r="K317" s="245">
        <f t="shared" si="32"/>
        <v>0</v>
      </c>
      <c r="L317" s="262">
        <f t="shared" si="30"/>
        <v>0</v>
      </c>
      <c r="M317" s="245">
        <f t="shared" si="34"/>
        <v>0</v>
      </c>
      <c r="N317" s="247">
        <v>0</v>
      </c>
      <c r="O317" s="245">
        <f t="shared" si="33"/>
        <v>0</v>
      </c>
      <c r="P317" s="433" t="s">
        <v>1488</v>
      </c>
      <c r="Q317" s="433">
        <v>2019</v>
      </c>
    </row>
    <row r="318" spans="1:17" ht="30">
      <c r="A318" s="258">
        <v>308</v>
      </c>
      <c r="B318" s="252" t="s">
        <v>1660</v>
      </c>
      <c r="C318" s="248" t="s">
        <v>1661</v>
      </c>
      <c r="D318" s="339">
        <v>0.99099999999999999</v>
      </c>
      <c r="E318" s="340"/>
      <c r="F318" s="245"/>
      <c r="G318" s="246"/>
      <c r="H318" s="340">
        <v>0</v>
      </c>
      <c r="I318" s="245">
        <f t="shared" si="35"/>
        <v>0</v>
      </c>
      <c r="J318" s="247">
        <v>0</v>
      </c>
      <c r="K318" s="245">
        <f t="shared" si="32"/>
        <v>0</v>
      </c>
      <c r="L318" s="262">
        <f t="shared" ref="L318:L381" si="36">J318</f>
        <v>0</v>
      </c>
      <c r="M318" s="245">
        <f t="shared" si="34"/>
        <v>0</v>
      </c>
      <c r="N318" s="247">
        <v>0</v>
      </c>
      <c r="O318" s="245">
        <f t="shared" si="33"/>
        <v>0</v>
      </c>
      <c r="P318" s="433" t="s">
        <v>1488</v>
      </c>
      <c r="Q318" s="433">
        <v>2019</v>
      </c>
    </row>
    <row r="319" spans="1:17" ht="45">
      <c r="A319" s="258">
        <v>309</v>
      </c>
      <c r="B319" s="252" t="s">
        <v>1662</v>
      </c>
      <c r="C319" s="248" t="s">
        <v>1663</v>
      </c>
      <c r="D319" s="339">
        <v>2.1240000000000001</v>
      </c>
      <c r="E319" s="340"/>
      <c r="F319" s="245"/>
      <c r="G319" s="246"/>
      <c r="H319" s="340">
        <v>0</v>
      </c>
      <c r="I319" s="245">
        <f t="shared" si="35"/>
        <v>0</v>
      </c>
      <c r="J319" s="247">
        <v>0</v>
      </c>
      <c r="K319" s="245">
        <f t="shared" si="32"/>
        <v>0</v>
      </c>
      <c r="L319" s="262">
        <f t="shared" si="36"/>
        <v>0</v>
      </c>
      <c r="M319" s="245">
        <f t="shared" si="34"/>
        <v>0</v>
      </c>
      <c r="N319" s="247">
        <v>0</v>
      </c>
      <c r="O319" s="245">
        <f t="shared" si="33"/>
        <v>0</v>
      </c>
      <c r="P319" s="433" t="s">
        <v>1488</v>
      </c>
      <c r="Q319" s="433">
        <v>2019</v>
      </c>
    </row>
    <row r="320" spans="1:17">
      <c r="A320" s="258">
        <v>310</v>
      </c>
      <c r="B320" s="252" t="s">
        <v>1664</v>
      </c>
      <c r="C320" s="248" t="s">
        <v>1665</v>
      </c>
      <c r="D320" s="339">
        <v>3.835</v>
      </c>
      <c r="E320" s="340"/>
      <c r="F320" s="245"/>
      <c r="G320" s="246"/>
      <c r="H320" s="340">
        <v>0</v>
      </c>
      <c r="I320" s="245">
        <f t="shared" si="35"/>
        <v>0</v>
      </c>
      <c r="J320" s="247">
        <v>0</v>
      </c>
      <c r="K320" s="245">
        <f t="shared" si="32"/>
        <v>0</v>
      </c>
      <c r="L320" s="262">
        <f t="shared" si="36"/>
        <v>0</v>
      </c>
      <c r="M320" s="245">
        <f t="shared" si="34"/>
        <v>0</v>
      </c>
      <c r="N320" s="247">
        <v>0</v>
      </c>
      <c r="O320" s="245">
        <f t="shared" si="33"/>
        <v>0</v>
      </c>
      <c r="P320" s="433" t="s">
        <v>1488</v>
      </c>
      <c r="Q320" s="433">
        <v>2019</v>
      </c>
    </row>
    <row r="321" spans="1:17" ht="45">
      <c r="A321" s="258">
        <v>311</v>
      </c>
      <c r="B321" s="252" t="s">
        <v>1666</v>
      </c>
      <c r="C321" s="248" t="s">
        <v>2686</v>
      </c>
      <c r="D321" s="339">
        <v>15.77</v>
      </c>
      <c r="E321" s="340"/>
      <c r="F321" s="245"/>
      <c r="G321" s="246"/>
      <c r="H321" s="340">
        <v>0</v>
      </c>
      <c r="I321" s="245">
        <f t="shared" si="35"/>
        <v>0</v>
      </c>
      <c r="J321" s="247">
        <v>0</v>
      </c>
      <c r="K321" s="245">
        <f t="shared" si="32"/>
        <v>0</v>
      </c>
      <c r="L321" s="262">
        <f t="shared" si="36"/>
        <v>0</v>
      </c>
      <c r="M321" s="245">
        <f t="shared" si="34"/>
        <v>0</v>
      </c>
      <c r="N321" s="247">
        <v>0</v>
      </c>
      <c r="O321" s="245">
        <f t="shared" si="33"/>
        <v>0</v>
      </c>
      <c r="P321" s="433" t="s">
        <v>1488</v>
      </c>
      <c r="Q321" s="433">
        <v>2019</v>
      </c>
    </row>
    <row r="322" spans="1:17" ht="30">
      <c r="A322" s="258">
        <v>312</v>
      </c>
      <c r="B322" s="252" t="s">
        <v>1666</v>
      </c>
      <c r="C322" s="248" t="s">
        <v>2687</v>
      </c>
      <c r="D322" s="339">
        <v>5.3</v>
      </c>
      <c r="E322" s="340"/>
      <c r="F322" s="245"/>
      <c r="G322" s="246"/>
      <c r="H322" s="340">
        <v>0</v>
      </c>
      <c r="I322" s="245">
        <f t="shared" si="35"/>
        <v>0</v>
      </c>
      <c r="J322" s="247">
        <v>0</v>
      </c>
      <c r="K322" s="245">
        <f t="shared" si="32"/>
        <v>0</v>
      </c>
      <c r="L322" s="262">
        <f t="shared" si="36"/>
        <v>0</v>
      </c>
      <c r="M322" s="245">
        <f t="shared" si="34"/>
        <v>0</v>
      </c>
      <c r="N322" s="247">
        <v>0</v>
      </c>
      <c r="O322" s="245">
        <f t="shared" si="33"/>
        <v>0</v>
      </c>
      <c r="P322" s="433" t="s">
        <v>1488</v>
      </c>
      <c r="Q322" s="433">
        <v>2019</v>
      </c>
    </row>
    <row r="323" spans="1:17" ht="30">
      <c r="A323" s="258">
        <v>313</v>
      </c>
      <c r="B323" s="252" t="s">
        <v>737</v>
      </c>
      <c r="C323" s="248" t="s">
        <v>1667</v>
      </c>
      <c r="D323" s="339">
        <v>7</v>
      </c>
      <c r="E323" s="340"/>
      <c r="F323" s="245"/>
      <c r="G323" s="246"/>
      <c r="H323" s="340">
        <v>0</v>
      </c>
      <c r="I323" s="245">
        <f t="shared" si="35"/>
        <v>0</v>
      </c>
      <c r="J323" s="247">
        <v>0</v>
      </c>
      <c r="K323" s="245">
        <f t="shared" si="32"/>
        <v>0</v>
      </c>
      <c r="L323" s="262">
        <f t="shared" si="36"/>
        <v>0</v>
      </c>
      <c r="M323" s="245">
        <f t="shared" si="34"/>
        <v>0</v>
      </c>
      <c r="N323" s="247">
        <v>0</v>
      </c>
      <c r="O323" s="245">
        <f t="shared" si="33"/>
        <v>0</v>
      </c>
      <c r="P323" s="433" t="s">
        <v>1488</v>
      </c>
      <c r="Q323" s="433">
        <v>2019</v>
      </c>
    </row>
    <row r="324" spans="1:17" ht="30">
      <c r="A324" s="258">
        <v>314</v>
      </c>
      <c r="B324" s="435">
        <v>805806</v>
      </c>
      <c r="C324" s="244" t="s">
        <v>1667</v>
      </c>
      <c r="D324" s="339">
        <v>37.96</v>
      </c>
      <c r="E324" s="340"/>
      <c r="F324" s="245"/>
      <c r="G324" s="246"/>
      <c r="H324" s="340">
        <v>0</v>
      </c>
      <c r="I324" s="245">
        <f t="shared" si="35"/>
        <v>0</v>
      </c>
      <c r="J324" s="247">
        <v>0</v>
      </c>
      <c r="K324" s="245">
        <f t="shared" si="32"/>
        <v>0</v>
      </c>
      <c r="L324" s="262">
        <f t="shared" si="36"/>
        <v>0</v>
      </c>
      <c r="M324" s="245">
        <f t="shared" si="34"/>
        <v>0</v>
      </c>
      <c r="N324" s="247">
        <v>0</v>
      </c>
      <c r="O324" s="245">
        <f t="shared" si="33"/>
        <v>0</v>
      </c>
      <c r="P324" s="433" t="s">
        <v>1488</v>
      </c>
      <c r="Q324" s="433">
        <v>2019</v>
      </c>
    </row>
    <row r="325" spans="1:17" ht="30">
      <c r="A325" s="258">
        <v>315</v>
      </c>
      <c r="B325" s="252" t="s">
        <v>1668</v>
      </c>
      <c r="C325" s="248" t="s">
        <v>1669</v>
      </c>
      <c r="D325" s="339">
        <v>0.9</v>
      </c>
      <c r="E325" s="340"/>
      <c r="F325" s="245"/>
      <c r="G325" s="246"/>
      <c r="H325" s="340">
        <v>0</v>
      </c>
      <c r="I325" s="245">
        <f t="shared" si="35"/>
        <v>0</v>
      </c>
      <c r="J325" s="247">
        <v>0</v>
      </c>
      <c r="K325" s="245">
        <f t="shared" si="32"/>
        <v>0</v>
      </c>
      <c r="L325" s="262">
        <f t="shared" si="36"/>
        <v>0</v>
      </c>
      <c r="M325" s="245">
        <f t="shared" si="34"/>
        <v>0</v>
      </c>
      <c r="N325" s="247">
        <v>0</v>
      </c>
      <c r="O325" s="245">
        <f t="shared" si="33"/>
        <v>0</v>
      </c>
      <c r="P325" s="433" t="s">
        <v>1488</v>
      </c>
      <c r="Q325" s="433">
        <v>2019</v>
      </c>
    </row>
    <row r="326" spans="1:17" ht="45">
      <c r="A326" s="258">
        <v>316</v>
      </c>
      <c r="B326" s="252" t="s">
        <v>1670</v>
      </c>
      <c r="C326" s="248" t="s">
        <v>1671</v>
      </c>
      <c r="D326" s="339">
        <v>33.549999999999997</v>
      </c>
      <c r="E326" s="340"/>
      <c r="F326" s="245"/>
      <c r="G326" s="246"/>
      <c r="H326" s="340">
        <v>0</v>
      </c>
      <c r="I326" s="245">
        <f t="shared" si="35"/>
        <v>0</v>
      </c>
      <c r="J326" s="247">
        <v>0</v>
      </c>
      <c r="K326" s="245">
        <f t="shared" si="32"/>
        <v>0</v>
      </c>
      <c r="L326" s="262">
        <f t="shared" si="36"/>
        <v>0</v>
      </c>
      <c r="M326" s="245">
        <f t="shared" si="34"/>
        <v>0</v>
      </c>
      <c r="N326" s="247">
        <v>0</v>
      </c>
      <c r="O326" s="245">
        <f t="shared" si="33"/>
        <v>0</v>
      </c>
      <c r="P326" s="433" t="s">
        <v>1488</v>
      </c>
      <c r="Q326" s="433">
        <v>2019</v>
      </c>
    </row>
    <row r="327" spans="1:17" ht="30">
      <c r="A327" s="258">
        <v>317</v>
      </c>
      <c r="B327" s="252" t="s">
        <v>911</v>
      </c>
      <c r="C327" s="248" t="s">
        <v>912</v>
      </c>
      <c r="D327" s="339">
        <v>4.93</v>
      </c>
      <c r="E327" s="340"/>
      <c r="F327" s="245"/>
      <c r="G327" s="246"/>
      <c r="H327" s="340">
        <v>0</v>
      </c>
      <c r="I327" s="245">
        <f t="shared" si="35"/>
        <v>0</v>
      </c>
      <c r="J327" s="247">
        <v>0</v>
      </c>
      <c r="K327" s="245">
        <f t="shared" si="32"/>
        <v>0</v>
      </c>
      <c r="L327" s="262">
        <f t="shared" si="36"/>
        <v>0</v>
      </c>
      <c r="M327" s="245">
        <f t="shared" si="34"/>
        <v>0</v>
      </c>
      <c r="N327" s="247">
        <v>0</v>
      </c>
      <c r="O327" s="245">
        <f t="shared" si="33"/>
        <v>0</v>
      </c>
      <c r="P327" s="433" t="s">
        <v>1488</v>
      </c>
      <c r="Q327" s="433">
        <v>2019</v>
      </c>
    </row>
    <row r="328" spans="1:17" ht="30">
      <c r="A328" s="258">
        <v>318</v>
      </c>
      <c r="B328" s="252" t="s">
        <v>1672</v>
      </c>
      <c r="C328" s="248" t="s">
        <v>1673</v>
      </c>
      <c r="D328" s="339">
        <v>1.9550000000000001</v>
      </c>
      <c r="E328" s="340"/>
      <c r="F328" s="245"/>
      <c r="G328" s="246"/>
      <c r="H328" s="340">
        <v>0</v>
      </c>
      <c r="I328" s="245">
        <f t="shared" si="35"/>
        <v>0</v>
      </c>
      <c r="J328" s="247">
        <v>0</v>
      </c>
      <c r="K328" s="245">
        <f t="shared" si="32"/>
        <v>0</v>
      </c>
      <c r="L328" s="262">
        <f t="shared" si="36"/>
        <v>0</v>
      </c>
      <c r="M328" s="245">
        <f t="shared" si="34"/>
        <v>0</v>
      </c>
      <c r="N328" s="247">
        <v>0</v>
      </c>
      <c r="O328" s="245">
        <f t="shared" si="33"/>
        <v>0</v>
      </c>
      <c r="P328" s="433" t="s">
        <v>1488</v>
      </c>
      <c r="Q328" s="433">
        <v>2019</v>
      </c>
    </row>
    <row r="329" spans="1:17">
      <c r="A329" s="258">
        <v>319</v>
      </c>
      <c r="B329" s="252" t="s">
        <v>1674</v>
      </c>
      <c r="C329" s="248" t="s">
        <v>1675</v>
      </c>
      <c r="D329" s="339">
        <v>42.72</v>
      </c>
      <c r="E329" s="340"/>
      <c r="F329" s="245"/>
      <c r="G329" s="246"/>
      <c r="H329" s="340">
        <v>0</v>
      </c>
      <c r="I329" s="245">
        <f t="shared" si="35"/>
        <v>0</v>
      </c>
      <c r="J329" s="247">
        <v>0</v>
      </c>
      <c r="K329" s="245">
        <f t="shared" si="32"/>
        <v>0</v>
      </c>
      <c r="L329" s="262">
        <f t="shared" si="36"/>
        <v>0</v>
      </c>
      <c r="M329" s="245">
        <f t="shared" si="34"/>
        <v>0</v>
      </c>
      <c r="N329" s="247">
        <v>0</v>
      </c>
      <c r="O329" s="245">
        <f t="shared" si="33"/>
        <v>0</v>
      </c>
      <c r="P329" s="433" t="s">
        <v>1488</v>
      </c>
      <c r="Q329" s="433">
        <v>2019</v>
      </c>
    </row>
    <row r="330" spans="1:17">
      <c r="A330" s="258">
        <v>320</v>
      </c>
      <c r="B330" s="252" t="s">
        <v>1676</v>
      </c>
      <c r="C330" s="248" t="s">
        <v>1677</v>
      </c>
      <c r="D330" s="339">
        <v>16.5</v>
      </c>
      <c r="E330" s="340"/>
      <c r="F330" s="245"/>
      <c r="G330" s="246"/>
      <c r="H330" s="340">
        <v>0</v>
      </c>
      <c r="I330" s="245">
        <f t="shared" si="35"/>
        <v>0</v>
      </c>
      <c r="J330" s="247">
        <v>0</v>
      </c>
      <c r="K330" s="245">
        <f t="shared" ref="K330:K392" si="37">J330/D330</f>
        <v>0</v>
      </c>
      <c r="L330" s="262">
        <f t="shared" si="36"/>
        <v>0</v>
      </c>
      <c r="M330" s="245">
        <f t="shared" si="34"/>
        <v>0</v>
      </c>
      <c r="N330" s="247">
        <v>0</v>
      </c>
      <c r="O330" s="245">
        <f t="shared" ref="O330:O378" si="38">N330/D330</f>
        <v>0</v>
      </c>
      <c r="P330" s="433" t="s">
        <v>1488</v>
      </c>
      <c r="Q330" s="433">
        <v>2019</v>
      </c>
    </row>
    <row r="331" spans="1:17" ht="30">
      <c r="A331" s="258">
        <v>321</v>
      </c>
      <c r="B331" s="252" t="s">
        <v>1678</v>
      </c>
      <c r="C331" s="248" t="s">
        <v>1679</v>
      </c>
      <c r="D331" s="339">
        <v>2.63</v>
      </c>
      <c r="E331" s="340"/>
      <c r="F331" s="245"/>
      <c r="G331" s="246"/>
      <c r="H331" s="340">
        <v>0</v>
      </c>
      <c r="I331" s="245">
        <f t="shared" si="35"/>
        <v>0</v>
      </c>
      <c r="J331" s="247">
        <v>0</v>
      </c>
      <c r="K331" s="245">
        <f t="shared" si="37"/>
        <v>0</v>
      </c>
      <c r="L331" s="262">
        <f t="shared" si="36"/>
        <v>0</v>
      </c>
      <c r="M331" s="245">
        <f t="shared" si="34"/>
        <v>0</v>
      </c>
      <c r="N331" s="247">
        <v>0</v>
      </c>
      <c r="O331" s="245">
        <f t="shared" si="38"/>
        <v>0</v>
      </c>
      <c r="P331" s="433" t="s">
        <v>1488</v>
      </c>
      <c r="Q331" s="433">
        <v>2019</v>
      </c>
    </row>
    <row r="332" spans="1:17" ht="45">
      <c r="A332" s="258">
        <v>322</v>
      </c>
      <c r="B332" s="252" t="s">
        <v>1680</v>
      </c>
      <c r="C332" s="248" t="s">
        <v>1681</v>
      </c>
      <c r="D332" s="339">
        <v>7.1</v>
      </c>
      <c r="E332" s="340"/>
      <c r="F332" s="245"/>
      <c r="G332" s="246"/>
      <c r="H332" s="340">
        <v>0</v>
      </c>
      <c r="I332" s="245">
        <f t="shared" si="35"/>
        <v>0</v>
      </c>
      <c r="J332" s="247">
        <v>0</v>
      </c>
      <c r="K332" s="245">
        <f t="shared" si="37"/>
        <v>0</v>
      </c>
      <c r="L332" s="262">
        <f t="shared" si="36"/>
        <v>0</v>
      </c>
      <c r="M332" s="245">
        <f t="shared" si="34"/>
        <v>0</v>
      </c>
      <c r="N332" s="247">
        <v>0</v>
      </c>
      <c r="O332" s="245">
        <f t="shared" si="38"/>
        <v>0</v>
      </c>
      <c r="P332" s="433" t="s">
        <v>1488</v>
      </c>
      <c r="Q332" s="433">
        <v>2019</v>
      </c>
    </row>
    <row r="333" spans="1:17" ht="45">
      <c r="A333" s="258">
        <v>323</v>
      </c>
      <c r="B333" s="252" t="s">
        <v>1680</v>
      </c>
      <c r="C333" s="248" t="s">
        <v>1681</v>
      </c>
      <c r="D333" s="339">
        <v>2</v>
      </c>
      <c r="E333" s="340"/>
      <c r="F333" s="245"/>
      <c r="G333" s="246"/>
      <c r="H333" s="340">
        <v>0</v>
      </c>
      <c r="I333" s="245">
        <f t="shared" si="35"/>
        <v>0</v>
      </c>
      <c r="J333" s="247">
        <v>0</v>
      </c>
      <c r="K333" s="245">
        <f t="shared" si="37"/>
        <v>0</v>
      </c>
      <c r="L333" s="262">
        <f t="shared" si="36"/>
        <v>0</v>
      </c>
      <c r="M333" s="245">
        <f t="shared" si="34"/>
        <v>0</v>
      </c>
      <c r="N333" s="247">
        <v>0</v>
      </c>
      <c r="O333" s="245">
        <f t="shared" si="38"/>
        <v>0</v>
      </c>
      <c r="P333" s="433" t="s">
        <v>1488</v>
      </c>
      <c r="Q333" s="433">
        <v>2019</v>
      </c>
    </row>
    <row r="334" spans="1:17" ht="45">
      <c r="A334" s="258">
        <v>324</v>
      </c>
      <c r="B334" s="435">
        <v>805436</v>
      </c>
      <c r="C334" s="248" t="s">
        <v>1682</v>
      </c>
      <c r="D334" s="339">
        <v>4.9630000000000001</v>
      </c>
      <c r="E334" s="340"/>
      <c r="F334" s="245"/>
      <c r="G334" s="246"/>
      <c r="H334" s="340">
        <v>0</v>
      </c>
      <c r="I334" s="245">
        <f t="shared" si="35"/>
        <v>0</v>
      </c>
      <c r="J334" s="247">
        <v>0</v>
      </c>
      <c r="K334" s="245">
        <f t="shared" si="37"/>
        <v>0</v>
      </c>
      <c r="L334" s="262">
        <f t="shared" si="36"/>
        <v>0</v>
      </c>
      <c r="M334" s="245">
        <f t="shared" si="34"/>
        <v>0</v>
      </c>
      <c r="N334" s="247">
        <v>0</v>
      </c>
      <c r="O334" s="245">
        <f t="shared" si="38"/>
        <v>0</v>
      </c>
      <c r="P334" s="433" t="s">
        <v>1488</v>
      </c>
      <c r="Q334" s="433">
        <v>2019</v>
      </c>
    </row>
    <row r="335" spans="1:17" ht="30">
      <c r="A335" s="258">
        <v>325</v>
      </c>
      <c r="B335" s="435">
        <v>805716</v>
      </c>
      <c r="C335" s="248" t="s">
        <v>1683</v>
      </c>
      <c r="D335" s="339">
        <v>12.05</v>
      </c>
      <c r="E335" s="340"/>
      <c r="F335" s="245"/>
      <c r="G335" s="246"/>
      <c r="H335" s="340">
        <v>0</v>
      </c>
      <c r="I335" s="245">
        <f t="shared" si="35"/>
        <v>0</v>
      </c>
      <c r="J335" s="247">
        <v>0</v>
      </c>
      <c r="K335" s="245">
        <f t="shared" si="37"/>
        <v>0</v>
      </c>
      <c r="L335" s="262">
        <f t="shared" si="36"/>
        <v>0</v>
      </c>
      <c r="M335" s="245">
        <f t="shared" si="34"/>
        <v>0</v>
      </c>
      <c r="N335" s="247">
        <v>0</v>
      </c>
      <c r="O335" s="245">
        <f t="shared" si="38"/>
        <v>0</v>
      </c>
      <c r="P335" s="433" t="s">
        <v>1488</v>
      </c>
      <c r="Q335" s="433">
        <v>2019</v>
      </c>
    </row>
    <row r="336" spans="1:17" ht="30">
      <c r="A336" s="258">
        <v>326</v>
      </c>
      <c r="B336" s="435">
        <v>805472</v>
      </c>
      <c r="C336" s="248" t="s">
        <v>1684</v>
      </c>
      <c r="D336" s="339">
        <v>0.4</v>
      </c>
      <c r="E336" s="340"/>
      <c r="F336" s="245"/>
      <c r="G336" s="246"/>
      <c r="H336" s="340">
        <v>0</v>
      </c>
      <c r="I336" s="245">
        <f t="shared" si="35"/>
        <v>0</v>
      </c>
      <c r="J336" s="247">
        <v>0</v>
      </c>
      <c r="K336" s="245">
        <f t="shared" si="37"/>
        <v>0</v>
      </c>
      <c r="L336" s="262">
        <f t="shared" si="36"/>
        <v>0</v>
      </c>
      <c r="M336" s="245">
        <f t="shared" si="34"/>
        <v>0</v>
      </c>
      <c r="N336" s="247">
        <v>0</v>
      </c>
      <c r="O336" s="245">
        <f t="shared" si="38"/>
        <v>0</v>
      </c>
      <c r="P336" s="433" t="s">
        <v>1488</v>
      </c>
      <c r="Q336" s="433">
        <v>2019</v>
      </c>
    </row>
    <row r="337" spans="1:17" ht="30">
      <c r="A337" s="258">
        <v>327</v>
      </c>
      <c r="B337" s="435">
        <v>805472</v>
      </c>
      <c r="C337" s="248" t="s">
        <v>1684</v>
      </c>
      <c r="D337" s="339">
        <v>4</v>
      </c>
      <c r="E337" s="340"/>
      <c r="F337" s="245"/>
      <c r="G337" s="246"/>
      <c r="H337" s="340">
        <v>0</v>
      </c>
      <c r="I337" s="245">
        <f t="shared" si="35"/>
        <v>0</v>
      </c>
      <c r="J337" s="247">
        <v>0</v>
      </c>
      <c r="K337" s="245">
        <f t="shared" si="37"/>
        <v>0</v>
      </c>
      <c r="L337" s="262">
        <f t="shared" si="36"/>
        <v>0</v>
      </c>
      <c r="M337" s="245">
        <f t="shared" si="34"/>
        <v>0</v>
      </c>
      <c r="N337" s="247">
        <v>0</v>
      </c>
      <c r="O337" s="245">
        <f t="shared" si="38"/>
        <v>0</v>
      </c>
      <c r="P337" s="433" t="s">
        <v>1488</v>
      </c>
      <c r="Q337" s="433">
        <v>2019</v>
      </c>
    </row>
    <row r="338" spans="1:17" ht="45">
      <c r="A338" s="258">
        <v>328</v>
      </c>
      <c r="B338" s="252" t="s">
        <v>1685</v>
      </c>
      <c r="C338" s="248" t="s">
        <v>1686</v>
      </c>
      <c r="D338" s="339">
        <v>3.4</v>
      </c>
      <c r="E338" s="340"/>
      <c r="F338" s="245"/>
      <c r="G338" s="246"/>
      <c r="H338" s="340">
        <v>0</v>
      </c>
      <c r="I338" s="245">
        <f t="shared" si="35"/>
        <v>0</v>
      </c>
      <c r="J338" s="247">
        <v>0</v>
      </c>
      <c r="K338" s="245">
        <f t="shared" si="37"/>
        <v>0</v>
      </c>
      <c r="L338" s="262">
        <f t="shared" si="36"/>
        <v>0</v>
      </c>
      <c r="M338" s="245">
        <f t="shared" si="34"/>
        <v>0</v>
      </c>
      <c r="N338" s="247">
        <v>0</v>
      </c>
      <c r="O338" s="245">
        <f t="shared" si="38"/>
        <v>0</v>
      </c>
      <c r="P338" s="433" t="s">
        <v>1488</v>
      </c>
      <c r="Q338" s="433">
        <v>2019</v>
      </c>
    </row>
    <row r="339" spans="1:17" ht="45">
      <c r="A339" s="258">
        <v>329</v>
      </c>
      <c r="B339" s="252" t="s">
        <v>1687</v>
      </c>
      <c r="C339" s="248" t="s">
        <v>1688</v>
      </c>
      <c r="D339" s="339">
        <v>15.78</v>
      </c>
      <c r="E339" s="340"/>
      <c r="F339" s="245"/>
      <c r="G339" s="246"/>
      <c r="H339" s="340">
        <v>0</v>
      </c>
      <c r="I339" s="245">
        <f t="shared" si="35"/>
        <v>0</v>
      </c>
      <c r="J339" s="247">
        <v>0</v>
      </c>
      <c r="K339" s="245">
        <f t="shared" si="37"/>
        <v>0</v>
      </c>
      <c r="L339" s="262">
        <f t="shared" si="36"/>
        <v>0</v>
      </c>
      <c r="M339" s="245">
        <f t="shared" si="34"/>
        <v>0</v>
      </c>
      <c r="N339" s="247">
        <v>0</v>
      </c>
      <c r="O339" s="245">
        <f t="shared" si="38"/>
        <v>0</v>
      </c>
      <c r="P339" s="433" t="s">
        <v>1488</v>
      </c>
      <c r="Q339" s="433">
        <v>2019</v>
      </c>
    </row>
    <row r="340" spans="1:17" ht="45">
      <c r="A340" s="258">
        <v>330</v>
      </c>
      <c r="B340" s="252" t="s">
        <v>1689</v>
      </c>
      <c r="C340" s="248" t="s">
        <v>1690</v>
      </c>
      <c r="D340" s="339">
        <v>4</v>
      </c>
      <c r="E340" s="340"/>
      <c r="F340" s="245"/>
      <c r="G340" s="246"/>
      <c r="H340" s="340">
        <v>0</v>
      </c>
      <c r="I340" s="245">
        <f t="shared" si="35"/>
        <v>0</v>
      </c>
      <c r="J340" s="340">
        <v>0</v>
      </c>
      <c r="K340" s="245">
        <f t="shared" si="37"/>
        <v>0</v>
      </c>
      <c r="L340" s="262">
        <f t="shared" si="36"/>
        <v>0</v>
      </c>
      <c r="M340" s="245">
        <f t="shared" ref="M340:M402" si="39">L340/D340</f>
        <v>0</v>
      </c>
      <c r="N340" s="340">
        <v>0</v>
      </c>
      <c r="O340" s="245">
        <f t="shared" si="38"/>
        <v>0</v>
      </c>
      <c r="P340" s="433" t="s">
        <v>1488</v>
      </c>
      <c r="Q340" s="433">
        <v>2019</v>
      </c>
    </row>
    <row r="341" spans="1:17">
      <c r="A341" s="258">
        <v>331</v>
      </c>
      <c r="B341" s="252" t="s">
        <v>1691</v>
      </c>
      <c r="C341" s="248" t="s">
        <v>1692</v>
      </c>
      <c r="D341" s="339">
        <v>13</v>
      </c>
      <c r="E341" s="340"/>
      <c r="F341" s="245"/>
      <c r="G341" s="246"/>
      <c r="H341" s="340">
        <v>0</v>
      </c>
      <c r="I341" s="245">
        <f t="shared" si="35"/>
        <v>0</v>
      </c>
      <c r="J341" s="247">
        <v>0</v>
      </c>
      <c r="K341" s="245">
        <f t="shared" si="37"/>
        <v>0</v>
      </c>
      <c r="L341" s="262">
        <f t="shared" si="36"/>
        <v>0</v>
      </c>
      <c r="M341" s="245">
        <f t="shared" si="39"/>
        <v>0</v>
      </c>
      <c r="N341" s="247">
        <v>0</v>
      </c>
      <c r="O341" s="245">
        <f t="shared" si="38"/>
        <v>0</v>
      </c>
      <c r="P341" s="433" t="s">
        <v>1488</v>
      </c>
      <c r="Q341" s="433">
        <v>2019</v>
      </c>
    </row>
    <row r="342" spans="1:17" ht="60">
      <c r="A342" s="258">
        <v>332</v>
      </c>
      <c r="B342" s="252" t="s">
        <v>1693</v>
      </c>
      <c r="C342" s="248" t="s">
        <v>1694</v>
      </c>
      <c r="D342" s="339">
        <v>1</v>
      </c>
      <c r="E342" s="340"/>
      <c r="F342" s="245"/>
      <c r="G342" s="246"/>
      <c r="H342" s="340">
        <v>0</v>
      </c>
      <c r="I342" s="245">
        <f t="shared" si="35"/>
        <v>0</v>
      </c>
      <c r="J342" s="247">
        <v>0</v>
      </c>
      <c r="K342" s="245">
        <f t="shared" si="37"/>
        <v>0</v>
      </c>
      <c r="L342" s="262">
        <f t="shared" si="36"/>
        <v>0</v>
      </c>
      <c r="M342" s="245">
        <f t="shared" si="39"/>
        <v>0</v>
      </c>
      <c r="N342" s="247">
        <v>0</v>
      </c>
      <c r="O342" s="245">
        <f t="shared" si="38"/>
        <v>0</v>
      </c>
      <c r="P342" s="433" t="s">
        <v>1488</v>
      </c>
      <c r="Q342" s="433">
        <v>2019</v>
      </c>
    </row>
    <row r="343" spans="1:17" ht="60">
      <c r="A343" s="258">
        <v>333</v>
      </c>
      <c r="B343" s="252" t="s">
        <v>1695</v>
      </c>
      <c r="C343" s="248" t="s">
        <v>1696</v>
      </c>
      <c r="D343" s="339">
        <v>2</v>
      </c>
      <c r="E343" s="340"/>
      <c r="F343" s="245"/>
      <c r="G343" s="246"/>
      <c r="H343" s="340">
        <v>0</v>
      </c>
      <c r="I343" s="245">
        <f t="shared" si="35"/>
        <v>0</v>
      </c>
      <c r="J343" s="247">
        <v>0</v>
      </c>
      <c r="K343" s="245">
        <f t="shared" si="37"/>
        <v>0</v>
      </c>
      <c r="L343" s="262">
        <f t="shared" si="36"/>
        <v>0</v>
      </c>
      <c r="M343" s="245">
        <f t="shared" si="39"/>
        <v>0</v>
      </c>
      <c r="N343" s="247">
        <v>0</v>
      </c>
      <c r="O343" s="245">
        <f t="shared" si="38"/>
        <v>0</v>
      </c>
      <c r="P343" s="433" t="s">
        <v>1488</v>
      </c>
      <c r="Q343" s="433">
        <v>2019</v>
      </c>
    </row>
    <row r="344" spans="1:17" ht="60">
      <c r="A344" s="258">
        <v>334</v>
      </c>
      <c r="B344" s="252" t="s">
        <v>1697</v>
      </c>
      <c r="C344" s="248" t="s">
        <v>1698</v>
      </c>
      <c r="D344" s="339">
        <v>4.26</v>
      </c>
      <c r="E344" s="340"/>
      <c r="F344" s="245"/>
      <c r="G344" s="246"/>
      <c r="H344" s="340">
        <v>0</v>
      </c>
      <c r="I344" s="245">
        <f t="shared" si="35"/>
        <v>0</v>
      </c>
      <c r="J344" s="247">
        <v>0</v>
      </c>
      <c r="K344" s="245">
        <f t="shared" si="37"/>
        <v>0</v>
      </c>
      <c r="L344" s="262">
        <f t="shared" si="36"/>
        <v>0</v>
      </c>
      <c r="M344" s="245">
        <f t="shared" si="39"/>
        <v>0</v>
      </c>
      <c r="N344" s="247">
        <v>0</v>
      </c>
      <c r="O344" s="245">
        <f t="shared" si="38"/>
        <v>0</v>
      </c>
      <c r="P344" s="433" t="s">
        <v>1488</v>
      </c>
      <c r="Q344" s="433">
        <v>2019</v>
      </c>
    </row>
    <row r="345" spans="1:17" ht="60">
      <c r="A345" s="258">
        <v>335</v>
      </c>
      <c r="B345" s="252" t="s">
        <v>1699</v>
      </c>
      <c r="C345" s="248" t="s">
        <v>1700</v>
      </c>
      <c r="D345" s="339">
        <v>4.4000000000000004</v>
      </c>
      <c r="E345" s="340"/>
      <c r="F345" s="245"/>
      <c r="G345" s="246"/>
      <c r="H345" s="340">
        <v>0</v>
      </c>
      <c r="I345" s="245">
        <f t="shared" si="35"/>
        <v>0</v>
      </c>
      <c r="J345" s="247">
        <v>0</v>
      </c>
      <c r="K345" s="245">
        <f t="shared" si="37"/>
        <v>0</v>
      </c>
      <c r="L345" s="262">
        <f t="shared" si="36"/>
        <v>0</v>
      </c>
      <c r="M345" s="245">
        <f t="shared" si="39"/>
        <v>0</v>
      </c>
      <c r="N345" s="247">
        <v>0</v>
      </c>
      <c r="O345" s="245">
        <f t="shared" si="38"/>
        <v>0</v>
      </c>
      <c r="P345" s="433" t="s">
        <v>1488</v>
      </c>
      <c r="Q345" s="433">
        <v>2019</v>
      </c>
    </row>
    <row r="346" spans="1:17" ht="45">
      <c r="A346" s="258">
        <v>336</v>
      </c>
      <c r="B346" s="252" t="s">
        <v>1701</v>
      </c>
      <c r="C346" s="248" t="s">
        <v>1702</v>
      </c>
      <c r="D346" s="339">
        <v>3.6</v>
      </c>
      <c r="E346" s="340"/>
      <c r="F346" s="245"/>
      <c r="G346" s="246"/>
      <c r="H346" s="340">
        <v>0</v>
      </c>
      <c r="I346" s="245">
        <f t="shared" si="35"/>
        <v>0</v>
      </c>
      <c r="J346" s="247">
        <v>0</v>
      </c>
      <c r="K346" s="245">
        <f t="shared" si="37"/>
        <v>0</v>
      </c>
      <c r="L346" s="262">
        <f t="shared" si="36"/>
        <v>0</v>
      </c>
      <c r="M346" s="245">
        <f t="shared" si="39"/>
        <v>0</v>
      </c>
      <c r="N346" s="247">
        <v>0</v>
      </c>
      <c r="O346" s="245">
        <f t="shared" si="38"/>
        <v>0</v>
      </c>
      <c r="P346" s="433" t="s">
        <v>1488</v>
      </c>
      <c r="Q346" s="433">
        <v>2019</v>
      </c>
    </row>
    <row r="347" spans="1:17" ht="60">
      <c r="A347" s="258">
        <v>337</v>
      </c>
      <c r="B347" s="252" t="s">
        <v>1703</v>
      </c>
      <c r="C347" s="248" t="s">
        <v>1704</v>
      </c>
      <c r="D347" s="339">
        <v>3.7</v>
      </c>
      <c r="E347" s="340"/>
      <c r="F347" s="245"/>
      <c r="G347" s="246"/>
      <c r="H347" s="340">
        <v>0</v>
      </c>
      <c r="I347" s="245">
        <f t="shared" si="35"/>
        <v>0</v>
      </c>
      <c r="J347" s="247">
        <v>0</v>
      </c>
      <c r="K347" s="245">
        <f t="shared" si="37"/>
        <v>0</v>
      </c>
      <c r="L347" s="262">
        <f t="shared" si="36"/>
        <v>0</v>
      </c>
      <c r="M347" s="245">
        <f t="shared" si="39"/>
        <v>0</v>
      </c>
      <c r="N347" s="247">
        <v>0</v>
      </c>
      <c r="O347" s="245">
        <f t="shared" si="38"/>
        <v>0</v>
      </c>
      <c r="P347" s="433" t="s">
        <v>1488</v>
      </c>
      <c r="Q347" s="433">
        <v>2019</v>
      </c>
    </row>
    <row r="348" spans="1:17" ht="60">
      <c r="A348" s="258">
        <v>338</v>
      </c>
      <c r="B348" s="252" t="s">
        <v>1705</v>
      </c>
      <c r="C348" s="248" t="s">
        <v>1706</v>
      </c>
      <c r="D348" s="339">
        <v>4.8499999999999996</v>
      </c>
      <c r="E348" s="340"/>
      <c r="F348" s="245"/>
      <c r="G348" s="246"/>
      <c r="H348" s="340">
        <v>0</v>
      </c>
      <c r="I348" s="245">
        <f t="shared" si="35"/>
        <v>0</v>
      </c>
      <c r="J348" s="247">
        <v>0</v>
      </c>
      <c r="K348" s="245">
        <f t="shared" si="37"/>
        <v>0</v>
      </c>
      <c r="L348" s="262">
        <f t="shared" si="36"/>
        <v>0</v>
      </c>
      <c r="M348" s="245">
        <f t="shared" si="39"/>
        <v>0</v>
      </c>
      <c r="N348" s="247">
        <v>0</v>
      </c>
      <c r="O348" s="245">
        <f t="shared" si="38"/>
        <v>0</v>
      </c>
      <c r="P348" s="433" t="s">
        <v>1488</v>
      </c>
      <c r="Q348" s="433">
        <v>2019</v>
      </c>
    </row>
    <row r="349" spans="1:17" ht="45">
      <c r="A349" s="258">
        <v>339</v>
      </c>
      <c r="B349" s="252" t="s">
        <v>1707</v>
      </c>
      <c r="C349" s="248" t="s">
        <v>1708</v>
      </c>
      <c r="D349" s="339">
        <v>3.488</v>
      </c>
      <c r="E349" s="340"/>
      <c r="F349" s="245"/>
      <c r="G349" s="246"/>
      <c r="H349" s="340">
        <v>0</v>
      </c>
      <c r="I349" s="245">
        <f t="shared" si="35"/>
        <v>0</v>
      </c>
      <c r="J349" s="247">
        <v>0</v>
      </c>
      <c r="K349" s="245">
        <f t="shared" si="37"/>
        <v>0</v>
      </c>
      <c r="L349" s="262">
        <f t="shared" si="36"/>
        <v>0</v>
      </c>
      <c r="M349" s="245">
        <f t="shared" si="39"/>
        <v>0</v>
      </c>
      <c r="N349" s="247">
        <v>0</v>
      </c>
      <c r="O349" s="245">
        <f t="shared" si="38"/>
        <v>0</v>
      </c>
      <c r="P349" s="433" t="s">
        <v>1488</v>
      </c>
      <c r="Q349" s="433">
        <v>2019</v>
      </c>
    </row>
    <row r="350" spans="1:17">
      <c r="A350" s="258">
        <v>340</v>
      </c>
      <c r="B350" s="252" t="s">
        <v>1709</v>
      </c>
      <c r="C350" s="248" t="s">
        <v>1710</v>
      </c>
      <c r="D350" s="339">
        <v>11.42</v>
      </c>
      <c r="E350" s="340"/>
      <c r="F350" s="245"/>
      <c r="G350" s="246"/>
      <c r="H350" s="340">
        <v>0</v>
      </c>
      <c r="I350" s="245">
        <f t="shared" si="35"/>
        <v>0</v>
      </c>
      <c r="J350" s="247">
        <v>0</v>
      </c>
      <c r="K350" s="245">
        <f t="shared" si="37"/>
        <v>0</v>
      </c>
      <c r="L350" s="262">
        <f t="shared" si="36"/>
        <v>0</v>
      </c>
      <c r="M350" s="245">
        <f t="shared" si="39"/>
        <v>0</v>
      </c>
      <c r="N350" s="247">
        <v>0</v>
      </c>
      <c r="O350" s="245">
        <f t="shared" si="38"/>
        <v>0</v>
      </c>
      <c r="P350" s="433" t="s">
        <v>1488</v>
      </c>
      <c r="Q350" s="433">
        <v>2019</v>
      </c>
    </row>
    <row r="351" spans="1:17" ht="30">
      <c r="A351" s="258">
        <v>341</v>
      </c>
      <c r="B351" s="252" t="s">
        <v>1711</v>
      </c>
      <c r="C351" s="248" t="s">
        <v>1712</v>
      </c>
      <c r="D351" s="339">
        <v>5</v>
      </c>
      <c r="E351" s="340"/>
      <c r="F351" s="245"/>
      <c r="G351" s="246"/>
      <c r="H351" s="340">
        <v>0</v>
      </c>
      <c r="I351" s="245">
        <f t="shared" si="35"/>
        <v>0</v>
      </c>
      <c r="J351" s="247">
        <v>0</v>
      </c>
      <c r="K351" s="245">
        <f t="shared" si="37"/>
        <v>0</v>
      </c>
      <c r="L351" s="262">
        <f t="shared" si="36"/>
        <v>0</v>
      </c>
      <c r="M351" s="245">
        <f t="shared" si="39"/>
        <v>0</v>
      </c>
      <c r="N351" s="247">
        <v>0</v>
      </c>
      <c r="O351" s="245">
        <f t="shared" si="38"/>
        <v>0</v>
      </c>
      <c r="P351" s="433" t="s">
        <v>1488</v>
      </c>
      <c r="Q351" s="433">
        <v>2019</v>
      </c>
    </row>
    <row r="352" spans="1:17" ht="45">
      <c r="A352" s="258">
        <v>342</v>
      </c>
      <c r="B352" s="252" t="s">
        <v>1713</v>
      </c>
      <c r="C352" s="248" t="s">
        <v>1714</v>
      </c>
      <c r="D352" s="339">
        <v>18</v>
      </c>
      <c r="E352" s="340"/>
      <c r="F352" s="245"/>
      <c r="G352" s="246"/>
      <c r="H352" s="340">
        <v>0</v>
      </c>
      <c r="I352" s="245">
        <f t="shared" si="35"/>
        <v>0</v>
      </c>
      <c r="J352" s="247">
        <v>0</v>
      </c>
      <c r="K352" s="245">
        <f t="shared" si="37"/>
        <v>0</v>
      </c>
      <c r="L352" s="262">
        <f t="shared" si="36"/>
        <v>0</v>
      </c>
      <c r="M352" s="245">
        <f t="shared" si="39"/>
        <v>0</v>
      </c>
      <c r="N352" s="247">
        <v>0</v>
      </c>
      <c r="O352" s="245">
        <f t="shared" si="38"/>
        <v>0</v>
      </c>
      <c r="P352" s="433" t="s">
        <v>1488</v>
      </c>
      <c r="Q352" s="433">
        <v>2019</v>
      </c>
    </row>
    <row r="353" spans="1:17" ht="30">
      <c r="A353" s="258">
        <v>343</v>
      </c>
      <c r="B353" s="252" t="s">
        <v>1715</v>
      </c>
      <c r="C353" s="248" t="s">
        <v>1716</v>
      </c>
      <c r="D353" s="339">
        <v>0.18</v>
      </c>
      <c r="E353" s="340"/>
      <c r="F353" s="245"/>
      <c r="G353" s="246"/>
      <c r="H353" s="340">
        <v>0</v>
      </c>
      <c r="I353" s="245">
        <f t="shared" si="35"/>
        <v>0</v>
      </c>
      <c r="J353" s="247">
        <v>0</v>
      </c>
      <c r="K353" s="245">
        <f t="shared" si="37"/>
        <v>0</v>
      </c>
      <c r="L353" s="262">
        <f t="shared" si="36"/>
        <v>0</v>
      </c>
      <c r="M353" s="245">
        <f t="shared" si="39"/>
        <v>0</v>
      </c>
      <c r="N353" s="247">
        <v>0</v>
      </c>
      <c r="O353" s="245">
        <f t="shared" si="38"/>
        <v>0</v>
      </c>
      <c r="P353" s="433" t="s">
        <v>1488</v>
      </c>
      <c r="Q353" s="433">
        <v>2019</v>
      </c>
    </row>
    <row r="354" spans="1:17" ht="30">
      <c r="A354" s="258">
        <v>344</v>
      </c>
      <c r="B354" s="252" t="s">
        <v>1717</v>
      </c>
      <c r="C354" s="248" t="s">
        <v>1718</v>
      </c>
      <c r="D354" s="339">
        <v>0.79</v>
      </c>
      <c r="E354" s="340"/>
      <c r="F354" s="245"/>
      <c r="G354" s="246"/>
      <c r="H354" s="340">
        <v>0</v>
      </c>
      <c r="I354" s="245">
        <f t="shared" si="35"/>
        <v>0</v>
      </c>
      <c r="J354" s="247">
        <v>0</v>
      </c>
      <c r="K354" s="245">
        <f t="shared" si="37"/>
        <v>0</v>
      </c>
      <c r="L354" s="262">
        <f t="shared" si="36"/>
        <v>0</v>
      </c>
      <c r="M354" s="245">
        <f t="shared" si="39"/>
        <v>0</v>
      </c>
      <c r="N354" s="247">
        <v>0</v>
      </c>
      <c r="O354" s="245">
        <f t="shared" si="38"/>
        <v>0</v>
      </c>
      <c r="P354" s="433" t="s">
        <v>1488</v>
      </c>
      <c r="Q354" s="433">
        <v>2019</v>
      </c>
    </row>
    <row r="355" spans="1:17" ht="30">
      <c r="A355" s="258">
        <v>345</v>
      </c>
      <c r="B355" s="252" t="s">
        <v>1719</v>
      </c>
      <c r="C355" s="248" t="s">
        <v>1720</v>
      </c>
      <c r="D355" s="339">
        <v>4.5</v>
      </c>
      <c r="E355" s="340"/>
      <c r="F355" s="245"/>
      <c r="G355" s="246"/>
      <c r="H355" s="340">
        <v>0</v>
      </c>
      <c r="I355" s="245">
        <f t="shared" si="35"/>
        <v>0</v>
      </c>
      <c r="J355" s="247">
        <v>0</v>
      </c>
      <c r="K355" s="245">
        <f t="shared" si="37"/>
        <v>0</v>
      </c>
      <c r="L355" s="262">
        <f t="shared" si="36"/>
        <v>0</v>
      </c>
      <c r="M355" s="245">
        <f t="shared" si="39"/>
        <v>0</v>
      </c>
      <c r="N355" s="247">
        <v>0</v>
      </c>
      <c r="O355" s="245">
        <f t="shared" si="38"/>
        <v>0</v>
      </c>
      <c r="P355" s="433" t="s">
        <v>1488</v>
      </c>
      <c r="Q355" s="433">
        <v>2019</v>
      </c>
    </row>
    <row r="356" spans="1:17">
      <c r="A356" s="258">
        <v>346</v>
      </c>
      <c r="B356" s="252" t="s">
        <v>1721</v>
      </c>
      <c r="C356" s="248" t="s">
        <v>1722</v>
      </c>
      <c r="D356" s="339">
        <v>4.25</v>
      </c>
      <c r="E356" s="340"/>
      <c r="F356" s="245"/>
      <c r="G356" s="246"/>
      <c r="H356" s="340">
        <v>0</v>
      </c>
      <c r="I356" s="245">
        <f t="shared" si="35"/>
        <v>0</v>
      </c>
      <c r="J356" s="247">
        <v>0</v>
      </c>
      <c r="K356" s="245">
        <f t="shared" si="37"/>
        <v>0</v>
      </c>
      <c r="L356" s="262">
        <f t="shared" si="36"/>
        <v>0</v>
      </c>
      <c r="M356" s="245">
        <f t="shared" si="39"/>
        <v>0</v>
      </c>
      <c r="N356" s="247">
        <v>0</v>
      </c>
      <c r="O356" s="245">
        <f t="shared" si="38"/>
        <v>0</v>
      </c>
      <c r="P356" s="433" t="s">
        <v>1488</v>
      </c>
      <c r="Q356" s="433">
        <v>2019</v>
      </c>
    </row>
    <row r="357" spans="1:17">
      <c r="A357" s="258">
        <v>347</v>
      </c>
      <c r="B357" s="252" t="s">
        <v>1723</v>
      </c>
      <c r="C357" s="248" t="s">
        <v>1724</v>
      </c>
      <c r="D357" s="339">
        <v>2.9</v>
      </c>
      <c r="E357" s="340"/>
      <c r="F357" s="245"/>
      <c r="G357" s="246"/>
      <c r="H357" s="340">
        <v>0</v>
      </c>
      <c r="I357" s="245">
        <f t="shared" ref="I357:I419" si="40">H357/D357</f>
        <v>0</v>
      </c>
      <c r="J357" s="247">
        <v>0</v>
      </c>
      <c r="K357" s="245">
        <f t="shared" si="37"/>
        <v>0</v>
      </c>
      <c r="L357" s="262">
        <f t="shared" si="36"/>
        <v>0</v>
      </c>
      <c r="M357" s="245">
        <f t="shared" si="39"/>
        <v>0</v>
      </c>
      <c r="N357" s="247">
        <v>0</v>
      </c>
      <c r="O357" s="245">
        <f t="shared" si="38"/>
        <v>0</v>
      </c>
      <c r="P357" s="433" t="s">
        <v>1488</v>
      </c>
      <c r="Q357" s="433">
        <v>2019</v>
      </c>
    </row>
    <row r="358" spans="1:17">
      <c r="A358" s="258">
        <v>348</v>
      </c>
      <c r="B358" s="252" t="s">
        <v>1725</v>
      </c>
      <c r="C358" s="248" t="s">
        <v>1726</v>
      </c>
      <c r="D358" s="339">
        <v>3</v>
      </c>
      <c r="E358" s="340"/>
      <c r="F358" s="245"/>
      <c r="G358" s="246"/>
      <c r="H358" s="340">
        <v>0</v>
      </c>
      <c r="I358" s="245">
        <f t="shared" si="40"/>
        <v>0</v>
      </c>
      <c r="J358" s="247">
        <v>0</v>
      </c>
      <c r="K358" s="245">
        <f t="shared" si="37"/>
        <v>0</v>
      </c>
      <c r="L358" s="262">
        <f t="shared" si="36"/>
        <v>0</v>
      </c>
      <c r="M358" s="245">
        <f t="shared" si="39"/>
        <v>0</v>
      </c>
      <c r="N358" s="247">
        <v>0</v>
      </c>
      <c r="O358" s="245">
        <f t="shared" si="38"/>
        <v>0</v>
      </c>
      <c r="P358" s="433" t="s">
        <v>1488</v>
      </c>
      <c r="Q358" s="433">
        <v>2019</v>
      </c>
    </row>
    <row r="359" spans="1:17">
      <c r="A359" s="258">
        <v>349</v>
      </c>
      <c r="B359" s="252" t="s">
        <v>1727</v>
      </c>
      <c r="C359" s="248" t="s">
        <v>1728</v>
      </c>
      <c r="D359" s="339">
        <v>3.2</v>
      </c>
      <c r="E359" s="340"/>
      <c r="F359" s="245"/>
      <c r="G359" s="246"/>
      <c r="H359" s="340">
        <v>0</v>
      </c>
      <c r="I359" s="245">
        <f t="shared" si="40"/>
        <v>0</v>
      </c>
      <c r="J359" s="247">
        <v>0</v>
      </c>
      <c r="K359" s="245">
        <f t="shared" si="37"/>
        <v>0</v>
      </c>
      <c r="L359" s="262">
        <f t="shared" si="36"/>
        <v>0</v>
      </c>
      <c r="M359" s="245">
        <f t="shared" si="39"/>
        <v>0</v>
      </c>
      <c r="N359" s="247">
        <v>0</v>
      </c>
      <c r="O359" s="245">
        <f t="shared" si="38"/>
        <v>0</v>
      </c>
      <c r="P359" s="433" t="s">
        <v>1488</v>
      </c>
      <c r="Q359" s="433">
        <v>2019</v>
      </c>
    </row>
    <row r="360" spans="1:17" ht="45">
      <c r="A360" s="258">
        <v>350</v>
      </c>
      <c r="B360" s="252" t="s">
        <v>1729</v>
      </c>
      <c r="C360" s="248" t="s">
        <v>1730</v>
      </c>
      <c r="D360" s="339">
        <v>7.0339999999999998</v>
      </c>
      <c r="E360" s="340"/>
      <c r="F360" s="245"/>
      <c r="G360" s="246"/>
      <c r="H360" s="340">
        <v>0</v>
      </c>
      <c r="I360" s="245">
        <f t="shared" si="40"/>
        <v>0</v>
      </c>
      <c r="J360" s="247">
        <v>0</v>
      </c>
      <c r="K360" s="245">
        <f t="shared" si="37"/>
        <v>0</v>
      </c>
      <c r="L360" s="262">
        <f t="shared" si="36"/>
        <v>0</v>
      </c>
      <c r="M360" s="245">
        <f t="shared" si="39"/>
        <v>0</v>
      </c>
      <c r="N360" s="247">
        <v>0</v>
      </c>
      <c r="O360" s="245">
        <f t="shared" si="38"/>
        <v>0</v>
      </c>
      <c r="P360" s="433" t="s">
        <v>1488</v>
      </c>
      <c r="Q360" s="433">
        <v>2019</v>
      </c>
    </row>
    <row r="361" spans="1:17" ht="30">
      <c r="A361" s="258">
        <v>351</v>
      </c>
      <c r="B361" s="252" t="s">
        <v>1731</v>
      </c>
      <c r="C361" s="248" t="s">
        <v>1732</v>
      </c>
      <c r="D361" s="339">
        <v>0.68700000000000006</v>
      </c>
      <c r="E361" s="340"/>
      <c r="F361" s="245"/>
      <c r="G361" s="246"/>
      <c r="H361" s="340">
        <v>0</v>
      </c>
      <c r="I361" s="245">
        <f t="shared" si="40"/>
        <v>0</v>
      </c>
      <c r="J361" s="247">
        <v>0</v>
      </c>
      <c r="K361" s="245">
        <f t="shared" si="37"/>
        <v>0</v>
      </c>
      <c r="L361" s="262">
        <f t="shared" si="36"/>
        <v>0</v>
      </c>
      <c r="M361" s="245">
        <f t="shared" si="39"/>
        <v>0</v>
      </c>
      <c r="N361" s="247">
        <v>0</v>
      </c>
      <c r="O361" s="245">
        <f t="shared" si="38"/>
        <v>0</v>
      </c>
      <c r="P361" s="433" t="s">
        <v>1488</v>
      </c>
      <c r="Q361" s="433">
        <v>2019</v>
      </c>
    </row>
    <row r="362" spans="1:17" ht="30">
      <c r="A362" s="258">
        <v>352</v>
      </c>
      <c r="B362" s="252" t="s">
        <v>1733</v>
      </c>
      <c r="C362" s="248" t="s">
        <v>1734</v>
      </c>
      <c r="D362" s="339">
        <v>3.5939999999999999</v>
      </c>
      <c r="E362" s="340"/>
      <c r="F362" s="245"/>
      <c r="G362" s="246"/>
      <c r="H362" s="340">
        <v>0</v>
      </c>
      <c r="I362" s="245">
        <f t="shared" si="40"/>
        <v>0</v>
      </c>
      <c r="J362" s="247">
        <v>0</v>
      </c>
      <c r="K362" s="245">
        <f t="shared" si="37"/>
        <v>0</v>
      </c>
      <c r="L362" s="262">
        <f t="shared" si="36"/>
        <v>0</v>
      </c>
      <c r="M362" s="245">
        <f t="shared" si="39"/>
        <v>0</v>
      </c>
      <c r="N362" s="247">
        <v>0</v>
      </c>
      <c r="O362" s="245">
        <f t="shared" si="38"/>
        <v>0</v>
      </c>
      <c r="P362" s="433" t="s">
        <v>1488</v>
      </c>
      <c r="Q362" s="433">
        <v>2019</v>
      </c>
    </row>
    <row r="363" spans="1:17" ht="30">
      <c r="A363" s="258">
        <v>353</v>
      </c>
      <c r="B363" s="252" t="s">
        <v>1735</v>
      </c>
      <c r="C363" s="248" t="s">
        <v>1736</v>
      </c>
      <c r="D363" s="339">
        <v>5.63</v>
      </c>
      <c r="E363" s="340"/>
      <c r="F363" s="245"/>
      <c r="G363" s="246"/>
      <c r="H363" s="340">
        <v>0</v>
      </c>
      <c r="I363" s="245">
        <f t="shared" si="40"/>
        <v>0</v>
      </c>
      <c r="J363" s="247">
        <v>0</v>
      </c>
      <c r="K363" s="245">
        <f t="shared" si="37"/>
        <v>0</v>
      </c>
      <c r="L363" s="262">
        <f t="shared" si="36"/>
        <v>0</v>
      </c>
      <c r="M363" s="245">
        <f t="shared" si="39"/>
        <v>0</v>
      </c>
      <c r="N363" s="247">
        <v>0</v>
      </c>
      <c r="O363" s="245">
        <f t="shared" si="38"/>
        <v>0</v>
      </c>
      <c r="P363" s="433" t="s">
        <v>1488</v>
      </c>
      <c r="Q363" s="433">
        <v>2019</v>
      </c>
    </row>
    <row r="364" spans="1:17" ht="30">
      <c r="A364" s="258">
        <v>354</v>
      </c>
      <c r="B364" s="252" t="s">
        <v>1737</v>
      </c>
      <c r="C364" s="248" t="s">
        <v>1738</v>
      </c>
      <c r="D364" s="339">
        <v>13.086</v>
      </c>
      <c r="E364" s="340"/>
      <c r="F364" s="245"/>
      <c r="G364" s="246"/>
      <c r="H364" s="340">
        <v>0</v>
      </c>
      <c r="I364" s="245">
        <f t="shared" si="40"/>
        <v>0</v>
      </c>
      <c r="J364" s="247">
        <v>0</v>
      </c>
      <c r="K364" s="245">
        <f t="shared" si="37"/>
        <v>0</v>
      </c>
      <c r="L364" s="262">
        <f t="shared" si="36"/>
        <v>0</v>
      </c>
      <c r="M364" s="245">
        <f t="shared" si="39"/>
        <v>0</v>
      </c>
      <c r="N364" s="247">
        <v>0</v>
      </c>
      <c r="O364" s="245">
        <f t="shared" si="38"/>
        <v>0</v>
      </c>
      <c r="P364" s="433" t="s">
        <v>1488</v>
      </c>
      <c r="Q364" s="433">
        <v>2019</v>
      </c>
    </row>
    <row r="365" spans="1:17" ht="30">
      <c r="A365" s="258">
        <v>356</v>
      </c>
      <c r="B365" s="252" t="s">
        <v>1739</v>
      </c>
      <c r="C365" s="248" t="s">
        <v>1740</v>
      </c>
      <c r="D365" s="339">
        <v>2.1240000000000001</v>
      </c>
      <c r="E365" s="340"/>
      <c r="F365" s="245"/>
      <c r="G365" s="246"/>
      <c r="H365" s="340">
        <v>0</v>
      </c>
      <c r="I365" s="245">
        <f t="shared" si="40"/>
        <v>0</v>
      </c>
      <c r="J365" s="247">
        <v>0</v>
      </c>
      <c r="K365" s="245">
        <f t="shared" si="37"/>
        <v>0</v>
      </c>
      <c r="L365" s="262">
        <f t="shared" si="36"/>
        <v>0</v>
      </c>
      <c r="M365" s="245">
        <f t="shared" si="39"/>
        <v>0</v>
      </c>
      <c r="N365" s="247">
        <v>0</v>
      </c>
      <c r="O365" s="245">
        <f t="shared" si="38"/>
        <v>0</v>
      </c>
      <c r="P365" s="433" t="s">
        <v>1488</v>
      </c>
      <c r="Q365" s="433">
        <v>2019</v>
      </c>
    </row>
    <row r="366" spans="1:17">
      <c r="A366" s="258">
        <v>357</v>
      </c>
      <c r="B366" s="252" t="s">
        <v>1741</v>
      </c>
      <c r="C366" s="248" t="s">
        <v>1742</v>
      </c>
      <c r="D366" s="339">
        <v>4.1900000000000004</v>
      </c>
      <c r="E366" s="340"/>
      <c r="F366" s="245"/>
      <c r="G366" s="246"/>
      <c r="H366" s="340">
        <v>0</v>
      </c>
      <c r="I366" s="245">
        <f t="shared" si="40"/>
        <v>0</v>
      </c>
      <c r="J366" s="247">
        <v>0</v>
      </c>
      <c r="K366" s="245">
        <f t="shared" si="37"/>
        <v>0</v>
      </c>
      <c r="L366" s="262">
        <f t="shared" si="36"/>
        <v>0</v>
      </c>
      <c r="M366" s="245">
        <f t="shared" si="39"/>
        <v>0</v>
      </c>
      <c r="N366" s="247">
        <v>0</v>
      </c>
      <c r="O366" s="245">
        <f t="shared" si="38"/>
        <v>0</v>
      </c>
      <c r="P366" s="433" t="s">
        <v>1488</v>
      </c>
      <c r="Q366" s="433">
        <v>2019</v>
      </c>
    </row>
    <row r="367" spans="1:17" ht="30">
      <c r="A367" s="258">
        <v>358</v>
      </c>
      <c r="B367" s="252" t="s">
        <v>1743</v>
      </c>
      <c r="C367" s="248" t="s">
        <v>1744</v>
      </c>
      <c r="D367" s="339">
        <v>7</v>
      </c>
      <c r="E367" s="340"/>
      <c r="F367" s="245"/>
      <c r="G367" s="246"/>
      <c r="H367" s="340">
        <v>0</v>
      </c>
      <c r="I367" s="245">
        <f t="shared" si="40"/>
        <v>0</v>
      </c>
      <c r="J367" s="247">
        <v>0</v>
      </c>
      <c r="K367" s="245">
        <f t="shared" si="37"/>
        <v>0</v>
      </c>
      <c r="L367" s="262">
        <f t="shared" si="36"/>
        <v>0</v>
      </c>
      <c r="M367" s="245">
        <f t="shared" si="39"/>
        <v>0</v>
      </c>
      <c r="N367" s="247">
        <v>0</v>
      </c>
      <c r="O367" s="245">
        <f t="shared" si="38"/>
        <v>0</v>
      </c>
      <c r="P367" s="433" t="s">
        <v>1488</v>
      </c>
      <c r="Q367" s="433">
        <v>2019</v>
      </c>
    </row>
    <row r="368" spans="1:17" ht="45">
      <c r="A368" s="258">
        <v>359</v>
      </c>
      <c r="B368" s="252" t="s">
        <v>1745</v>
      </c>
      <c r="C368" s="248" t="s">
        <v>1746</v>
      </c>
      <c r="D368" s="339">
        <v>6.04</v>
      </c>
      <c r="E368" s="340"/>
      <c r="F368" s="245"/>
      <c r="G368" s="246"/>
      <c r="H368" s="340">
        <v>0</v>
      </c>
      <c r="I368" s="245">
        <f t="shared" si="40"/>
        <v>0</v>
      </c>
      <c r="J368" s="247">
        <v>0</v>
      </c>
      <c r="K368" s="245">
        <f t="shared" si="37"/>
        <v>0</v>
      </c>
      <c r="L368" s="262">
        <f t="shared" si="36"/>
        <v>0</v>
      </c>
      <c r="M368" s="245">
        <f t="shared" si="39"/>
        <v>0</v>
      </c>
      <c r="N368" s="247">
        <v>0</v>
      </c>
      <c r="O368" s="245">
        <f t="shared" si="38"/>
        <v>0</v>
      </c>
      <c r="P368" s="433" t="s">
        <v>1488</v>
      </c>
      <c r="Q368" s="433">
        <v>2019</v>
      </c>
    </row>
    <row r="369" spans="1:17" ht="30">
      <c r="A369" s="258">
        <v>360</v>
      </c>
      <c r="B369" s="252" t="s">
        <v>1747</v>
      </c>
      <c r="C369" s="248" t="s">
        <v>1748</v>
      </c>
      <c r="D369" s="339">
        <v>3.86</v>
      </c>
      <c r="E369" s="340"/>
      <c r="F369" s="245"/>
      <c r="G369" s="246"/>
      <c r="H369" s="340">
        <v>0</v>
      </c>
      <c r="I369" s="245">
        <f t="shared" si="40"/>
        <v>0</v>
      </c>
      <c r="J369" s="247">
        <v>0</v>
      </c>
      <c r="K369" s="245">
        <f t="shared" si="37"/>
        <v>0</v>
      </c>
      <c r="L369" s="262">
        <f t="shared" si="36"/>
        <v>0</v>
      </c>
      <c r="M369" s="245">
        <f t="shared" si="39"/>
        <v>0</v>
      </c>
      <c r="N369" s="247">
        <v>0</v>
      </c>
      <c r="O369" s="245">
        <f t="shared" si="38"/>
        <v>0</v>
      </c>
      <c r="P369" s="433" t="s">
        <v>1488</v>
      </c>
      <c r="Q369" s="433">
        <v>2019</v>
      </c>
    </row>
    <row r="370" spans="1:17" ht="30">
      <c r="A370" s="258">
        <v>361</v>
      </c>
      <c r="B370" s="252" t="s">
        <v>1749</v>
      </c>
      <c r="C370" s="248" t="s">
        <v>1750</v>
      </c>
      <c r="D370" s="339">
        <v>7</v>
      </c>
      <c r="E370" s="340"/>
      <c r="F370" s="245"/>
      <c r="G370" s="246"/>
      <c r="H370" s="340">
        <v>0</v>
      </c>
      <c r="I370" s="245">
        <f t="shared" si="40"/>
        <v>0</v>
      </c>
      <c r="J370" s="247">
        <v>0</v>
      </c>
      <c r="K370" s="245">
        <f t="shared" si="37"/>
        <v>0</v>
      </c>
      <c r="L370" s="262">
        <f t="shared" si="36"/>
        <v>0</v>
      </c>
      <c r="M370" s="245">
        <f t="shared" si="39"/>
        <v>0</v>
      </c>
      <c r="N370" s="247">
        <v>0</v>
      </c>
      <c r="O370" s="245">
        <f t="shared" si="38"/>
        <v>0</v>
      </c>
      <c r="P370" s="433" t="s">
        <v>1488</v>
      </c>
      <c r="Q370" s="433">
        <v>2019</v>
      </c>
    </row>
    <row r="371" spans="1:17" ht="30">
      <c r="A371" s="258">
        <v>362</v>
      </c>
      <c r="B371" s="252" t="s">
        <v>1751</v>
      </c>
      <c r="C371" s="248" t="s">
        <v>1752</v>
      </c>
      <c r="D371" s="339">
        <v>2.66</v>
      </c>
      <c r="E371" s="340"/>
      <c r="F371" s="245"/>
      <c r="G371" s="246"/>
      <c r="H371" s="340">
        <v>0</v>
      </c>
      <c r="I371" s="245">
        <f t="shared" si="40"/>
        <v>0</v>
      </c>
      <c r="J371" s="247">
        <v>0</v>
      </c>
      <c r="K371" s="245">
        <f t="shared" si="37"/>
        <v>0</v>
      </c>
      <c r="L371" s="262">
        <f t="shared" si="36"/>
        <v>0</v>
      </c>
      <c r="M371" s="245">
        <f t="shared" si="39"/>
        <v>0</v>
      </c>
      <c r="N371" s="247">
        <v>0</v>
      </c>
      <c r="O371" s="245">
        <f t="shared" si="38"/>
        <v>0</v>
      </c>
      <c r="P371" s="433" t="s">
        <v>1488</v>
      </c>
      <c r="Q371" s="433">
        <v>2019</v>
      </c>
    </row>
    <row r="372" spans="1:17">
      <c r="A372" s="258">
        <v>363</v>
      </c>
      <c r="B372" s="252" t="s">
        <v>1753</v>
      </c>
      <c r="C372" s="248" t="s">
        <v>1754</v>
      </c>
      <c r="D372" s="339">
        <v>57.92</v>
      </c>
      <c r="E372" s="340"/>
      <c r="F372" s="245"/>
      <c r="G372" s="246"/>
      <c r="H372" s="340">
        <v>0</v>
      </c>
      <c r="I372" s="245">
        <f t="shared" si="40"/>
        <v>0</v>
      </c>
      <c r="J372" s="247">
        <v>0</v>
      </c>
      <c r="K372" s="245">
        <f t="shared" si="37"/>
        <v>0</v>
      </c>
      <c r="L372" s="262">
        <f t="shared" si="36"/>
        <v>0</v>
      </c>
      <c r="M372" s="245">
        <f t="shared" si="39"/>
        <v>0</v>
      </c>
      <c r="N372" s="247">
        <v>0</v>
      </c>
      <c r="O372" s="245">
        <f t="shared" si="38"/>
        <v>0</v>
      </c>
      <c r="P372" s="433" t="s">
        <v>1488</v>
      </c>
      <c r="Q372" s="433">
        <v>2019</v>
      </c>
    </row>
    <row r="373" spans="1:17" ht="30">
      <c r="A373" s="258">
        <v>364</v>
      </c>
      <c r="B373" s="252" t="s">
        <v>1755</v>
      </c>
      <c r="C373" s="248" t="s">
        <v>1756</v>
      </c>
      <c r="D373" s="339">
        <v>2</v>
      </c>
      <c r="E373" s="340"/>
      <c r="F373" s="245"/>
      <c r="G373" s="246"/>
      <c r="H373" s="340">
        <v>0</v>
      </c>
      <c r="I373" s="245">
        <f t="shared" si="40"/>
        <v>0</v>
      </c>
      <c r="J373" s="247">
        <v>0</v>
      </c>
      <c r="K373" s="245">
        <f t="shared" si="37"/>
        <v>0</v>
      </c>
      <c r="L373" s="262">
        <f t="shared" si="36"/>
        <v>0</v>
      </c>
      <c r="M373" s="245">
        <f t="shared" si="39"/>
        <v>0</v>
      </c>
      <c r="N373" s="247">
        <v>0</v>
      </c>
      <c r="O373" s="245">
        <f t="shared" si="38"/>
        <v>0</v>
      </c>
      <c r="P373" s="433" t="s">
        <v>1488</v>
      </c>
      <c r="Q373" s="433">
        <v>2019</v>
      </c>
    </row>
    <row r="374" spans="1:17" ht="30">
      <c r="A374" s="258">
        <v>365</v>
      </c>
      <c r="B374" s="252" t="s">
        <v>1757</v>
      </c>
      <c r="C374" s="248" t="s">
        <v>1758</v>
      </c>
      <c r="D374" s="339">
        <v>15.04</v>
      </c>
      <c r="E374" s="340"/>
      <c r="F374" s="245"/>
      <c r="G374" s="246"/>
      <c r="H374" s="340">
        <v>0.04</v>
      </c>
      <c r="I374" s="245">
        <f t="shared" si="40"/>
        <v>2.6595744680851068E-3</v>
      </c>
      <c r="J374" s="247">
        <v>0.04</v>
      </c>
      <c r="K374" s="245">
        <f t="shared" si="37"/>
        <v>2.6595744680851068E-3</v>
      </c>
      <c r="L374" s="262">
        <v>0</v>
      </c>
      <c r="M374" s="245">
        <f t="shared" si="39"/>
        <v>0</v>
      </c>
      <c r="N374" s="247">
        <v>0</v>
      </c>
      <c r="O374" s="245">
        <f t="shared" si="38"/>
        <v>0</v>
      </c>
      <c r="P374" s="433" t="s">
        <v>1488</v>
      </c>
      <c r="Q374" s="433">
        <v>2019</v>
      </c>
    </row>
    <row r="375" spans="1:17" ht="30">
      <c r="A375" s="258">
        <v>366</v>
      </c>
      <c r="B375" s="252" t="s">
        <v>1759</v>
      </c>
      <c r="C375" s="248" t="s">
        <v>1760</v>
      </c>
      <c r="D375" s="339">
        <v>6.5</v>
      </c>
      <c r="E375" s="340"/>
      <c r="F375" s="245"/>
      <c r="G375" s="246"/>
      <c r="H375" s="340">
        <v>0</v>
      </c>
      <c r="I375" s="245">
        <f t="shared" si="40"/>
        <v>0</v>
      </c>
      <c r="J375" s="247">
        <v>0</v>
      </c>
      <c r="K375" s="245">
        <f t="shared" si="37"/>
        <v>0</v>
      </c>
      <c r="L375" s="262">
        <f t="shared" si="36"/>
        <v>0</v>
      </c>
      <c r="M375" s="245">
        <f t="shared" si="39"/>
        <v>0</v>
      </c>
      <c r="N375" s="247">
        <v>0</v>
      </c>
      <c r="O375" s="245">
        <f t="shared" si="38"/>
        <v>0</v>
      </c>
      <c r="P375" s="433" t="s">
        <v>1488</v>
      </c>
      <c r="Q375" s="433">
        <v>2019</v>
      </c>
    </row>
    <row r="376" spans="1:17" ht="30">
      <c r="A376" s="258">
        <v>367</v>
      </c>
      <c r="B376" s="252" t="s">
        <v>1761</v>
      </c>
      <c r="C376" s="248" t="s">
        <v>1762</v>
      </c>
      <c r="D376" s="339">
        <v>2.4900000000000002</v>
      </c>
      <c r="E376" s="340"/>
      <c r="F376" s="245"/>
      <c r="G376" s="246"/>
      <c r="H376" s="340">
        <v>0</v>
      </c>
      <c r="I376" s="245">
        <f t="shared" si="40"/>
        <v>0</v>
      </c>
      <c r="J376" s="247">
        <v>0</v>
      </c>
      <c r="K376" s="245">
        <f t="shared" si="37"/>
        <v>0</v>
      </c>
      <c r="L376" s="262">
        <f t="shared" si="36"/>
        <v>0</v>
      </c>
      <c r="M376" s="245">
        <f t="shared" si="39"/>
        <v>0</v>
      </c>
      <c r="N376" s="247">
        <v>0</v>
      </c>
      <c r="O376" s="245">
        <f t="shared" si="38"/>
        <v>0</v>
      </c>
      <c r="P376" s="433" t="s">
        <v>1488</v>
      </c>
      <c r="Q376" s="433">
        <v>2019</v>
      </c>
    </row>
    <row r="377" spans="1:17" ht="30">
      <c r="A377" s="258">
        <v>368</v>
      </c>
      <c r="B377" s="252" t="s">
        <v>1763</v>
      </c>
      <c r="C377" s="248" t="s">
        <v>1764</v>
      </c>
      <c r="D377" s="339">
        <v>3.03</v>
      </c>
      <c r="E377" s="340"/>
      <c r="F377" s="245"/>
      <c r="G377" s="246"/>
      <c r="H377" s="340">
        <v>0</v>
      </c>
      <c r="I377" s="245">
        <f t="shared" si="40"/>
        <v>0</v>
      </c>
      <c r="J377" s="247">
        <v>0</v>
      </c>
      <c r="K377" s="245">
        <f t="shared" si="37"/>
        <v>0</v>
      </c>
      <c r="L377" s="262">
        <f t="shared" si="36"/>
        <v>0</v>
      </c>
      <c r="M377" s="245">
        <f t="shared" si="39"/>
        <v>0</v>
      </c>
      <c r="N377" s="247">
        <v>0</v>
      </c>
      <c r="O377" s="245">
        <f t="shared" si="38"/>
        <v>0</v>
      </c>
      <c r="P377" s="433" t="s">
        <v>1488</v>
      </c>
      <c r="Q377" s="433">
        <v>2019</v>
      </c>
    </row>
    <row r="378" spans="1:17">
      <c r="A378" s="258">
        <v>369</v>
      </c>
      <c r="B378" s="252" t="s">
        <v>1765</v>
      </c>
      <c r="C378" s="248" t="s">
        <v>1766</v>
      </c>
      <c r="D378" s="339">
        <v>2.21</v>
      </c>
      <c r="E378" s="340"/>
      <c r="F378" s="245"/>
      <c r="G378" s="246"/>
      <c r="H378" s="340">
        <v>0</v>
      </c>
      <c r="I378" s="245">
        <f t="shared" si="40"/>
        <v>0</v>
      </c>
      <c r="J378" s="247">
        <v>0</v>
      </c>
      <c r="K378" s="245">
        <f t="shared" si="37"/>
        <v>0</v>
      </c>
      <c r="L378" s="262">
        <f t="shared" si="36"/>
        <v>0</v>
      </c>
      <c r="M378" s="245">
        <f t="shared" si="39"/>
        <v>0</v>
      </c>
      <c r="N378" s="247">
        <v>0</v>
      </c>
      <c r="O378" s="245">
        <f t="shared" si="38"/>
        <v>0</v>
      </c>
      <c r="P378" s="433" t="s">
        <v>1488</v>
      </c>
      <c r="Q378" s="433">
        <v>2019</v>
      </c>
    </row>
    <row r="379" spans="1:17">
      <c r="A379" s="258">
        <v>371</v>
      </c>
      <c r="B379" s="252" t="s">
        <v>1767</v>
      </c>
      <c r="C379" s="248" t="s">
        <v>1768</v>
      </c>
      <c r="D379" s="339">
        <v>6.1230000000000002</v>
      </c>
      <c r="E379" s="340"/>
      <c r="F379" s="245"/>
      <c r="G379" s="246"/>
      <c r="H379" s="340">
        <v>0</v>
      </c>
      <c r="I379" s="245">
        <f t="shared" si="40"/>
        <v>0</v>
      </c>
      <c r="J379" s="247">
        <v>0</v>
      </c>
      <c r="K379" s="245">
        <f t="shared" si="37"/>
        <v>0</v>
      </c>
      <c r="L379" s="262">
        <f t="shared" si="36"/>
        <v>0</v>
      </c>
      <c r="M379" s="245">
        <f t="shared" si="39"/>
        <v>0</v>
      </c>
      <c r="N379" s="247">
        <v>0</v>
      </c>
      <c r="O379" s="245">
        <f t="shared" ref="O379:O410" si="41">N379/D379</f>
        <v>0</v>
      </c>
      <c r="P379" s="433" t="s">
        <v>1488</v>
      </c>
      <c r="Q379" s="433">
        <v>2019</v>
      </c>
    </row>
    <row r="380" spans="1:17" ht="30">
      <c r="A380" s="258">
        <v>372</v>
      </c>
      <c r="B380" s="252" t="s">
        <v>1769</v>
      </c>
      <c r="C380" s="248" t="s">
        <v>1770</v>
      </c>
      <c r="D380" s="339">
        <v>2.36</v>
      </c>
      <c r="E380" s="340"/>
      <c r="F380" s="245"/>
      <c r="G380" s="246"/>
      <c r="H380" s="340">
        <v>0</v>
      </c>
      <c r="I380" s="245">
        <f t="shared" si="40"/>
        <v>0</v>
      </c>
      <c r="J380" s="247">
        <v>0</v>
      </c>
      <c r="K380" s="245">
        <f t="shared" si="37"/>
        <v>0</v>
      </c>
      <c r="L380" s="262">
        <f t="shared" si="36"/>
        <v>0</v>
      </c>
      <c r="M380" s="245">
        <f t="shared" si="39"/>
        <v>0</v>
      </c>
      <c r="N380" s="247">
        <v>0</v>
      </c>
      <c r="O380" s="245">
        <f t="shared" si="41"/>
        <v>0</v>
      </c>
      <c r="P380" s="433" t="s">
        <v>1488</v>
      </c>
      <c r="Q380" s="433">
        <v>2019</v>
      </c>
    </row>
    <row r="381" spans="1:17">
      <c r="A381" s="258">
        <v>373</v>
      </c>
      <c r="B381" s="252" t="s">
        <v>1771</v>
      </c>
      <c r="C381" s="248" t="s">
        <v>1772</v>
      </c>
      <c r="D381" s="339">
        <v>2.0950000000000002</v>
      </c>
      <c r="E381" s="340"/>
      <c r="F381" s="245"/>
      <c r="G381" s="246"/>
      <c r="H381" s="340">
        <v>0</v>
      </c>
      <c r="I381" s="245">
        <f t="shared" si="40"/>
        <v>0</v>
      </c>
      <c r="J381" s="247">
        <v>0</v>
      </c>
      <c r="K381" s="245">
        <f t="shared" si="37"/>
        <v>0</v>
      </c>
      <c r="L381" s="262">
        <f t="shared" si="36"/>
        <v>0</v>
      </c>
      <c r="M381" s="245">
        <f t="shared" si="39"/>
        <v>0</v>
      </c>
      <c r="N381" s="247">
        <v>0</v>
      </c>
      <c r="O381" s="245">
        <f t="shared" si="41"/>
        <v>0</v>
      </c>
      <c r="P381" s="433" t="s">
        <v>1488</v>
      </c>
      <c r="Q381" s="433">
        <v>2019</v>
      </c>
    </row>
    <row r="382" spans="1:17" ht="30">
      <c r="A382" s="258">
        <v>374</v>
      </c>
      <c r="B382" s="252" t="s">
        <v>1773</v>
      </c>
      <c r="C382" s="248" t="s">
        <v>1774</v>
      </c>
      <c r="D382" s="339">
        <v>2</v>
      </c>
      <c r="E382" s="340"/>
      <c r="F382" s="245"/>
      <c r="G382" s="246"/>
      <c r="H382" s="340">
        <v>0</v>
      </c>
      <c r="I382" s="245">
        <f t="shared" si="40"/>
        <v>0</v>
      </c>
      <c r="J382" s="247">
        <v>0</v>
      </c>
      <c r="K382" s="245">
        <f t="shared" si="37"/>
        <v>0</v>
      </c>
      <c r="L382" s="262">
        <f t="shared" ref="L382:L445" si="42">J382</f>
        <v>0</v>
      </c>
      <c r="M382" s="245">
        <f t="shared" si="39"/>
        <v>0</v>
      </c>
      <c r="N382" s="247">
        <v>0</v>
      </c>
      <c r="O382" s="245">
        <f t="shared" si="41"/>
        <v>0</v>
      </c>
      <c r="P382" s="433" t="s">
        <v>1488</v>
      </c>
      <c r="Q382" s="433">
        <v>2019</v>
      </c>
    </row>
    <row r="383" spans="1:17">
      <c r="A383" s="258">
        <v>375</v>
      </c>
      <c r="B383" s="252" t="s">
        <v>1775</v>
      </c>
      <c r="C383" s="248" t="s">
        <v>1776</v>
      </c>
      <c r="D383" s="339">
        <v>5.96</v>
      </c>
      <c r="E383" s="340"/>
      <c r="F383" s="245"/>
      <c r="G383" s="246"/>
      <c r="H383" s="340">
        <v>0</v>
      </c>
      <c r="I383" s="245">
        <f t="shared" si="40"/>
        <v>0</v>
      </c>
      <c r="J383" s="247">
        <v>0</v>
      </c>
      <c r="K383" s="245">
        <f t="shared" si="37"/>
        <v>0</v>
      </c>
      <c r="L383" s="262">
        <f t="shared" si="42"/>
        <v>0</v>
      </c>
      <c r="M383" s="245">
        <f t="shared" si="39"/>
        <v>0</v>
      </c>
      <c r="N383" s="247">
        <v>0</v>
      </c>
      <c r="O383" s="245">
        <f t="shared" si="41"/>
        <v>0</v>
      </c>
      <c r="P383" s="433" t="s">
        <v>1488</v>
      </c>
      <c r="Q383" s="433">
        <v>2019</v>
      </c>
    </row>
    <row r="384" spans="1:17">
      <c r="A384" s="258">
        <v>376</v>
      </c>
      <c r="B384" s="252" t="s">
        <v>1777</v>
      </c>
      <c r="C384" s="248" t="s">
        <v>1778</v>
      </c>
      <c r="D384" s="339">
        <v>6.8</v>
      </c>
      <c r="E384" s="340"/>
      <c r="F384" s="245"/>
      <c r="G384" s="246"/>
      <c r="H384" s="340">
        <v>0</v>
      </c>
      <c r="I384" s="245">
        <f t="shared" si="40"/>
        <v>0</v>
      </c>
      <c r="J384" s="247">
        <v>0</v>
      </c>
      <c r="K384" s="245">
        <f t="shared" si="37"/>
        <v>0</v>
      </c>
      <c r="L384" s="262">
        <f t="shared" si="42"/>
        <v>0</v>
      </c>
      <c r="M384" s="245">
        <f t="shared" si="39"/>
        <v>0</v>
      </c>
      <c r="N384" s="247">
        <v>0</v>
      </c>
      <c r="O384" s="245">
        <f t="shared" si="41"/>
        <v>0</v>
      </c>
      <c r="P384" s="433" t="s">
        <v>1488</v>
      </c>
      <c r="Q384" s="433">
        <v>2019</v>
      </c>
    </row>
    <row r="385" spans="1:17">
      <c r="A385" s="258">
        <v>377</v>
      </c>
      <c r="B385" s="252" t="s">
        <v>1779</v>
      </c>
      <c r="C385" s="248" t="s">
        <v>1780</v>
      </c>
      <c r="D385" s="339">
        <v>4.2</v>
      </c>
      <c r="E385" s="340"/>
      <c r="F385" s="245"/>
      <c r="G385" s="246"/>
      <c r="H385" s="340">
        <v>0</v>
      </c>
      <c r="I385" s="245">
        <f t="shared" si="40"/>
        <v>0</v>
      </c>
      <c r="J385" s="247">
        <v>0</v>
      </c>
      <c r="K385" s="245">
        <f t="shared" si="37"/>
        <v>0</v>
      </c>
      <c r="L385" s="262">
        <f t="shared" si="42"/>
        <v>0</v>
      </c>
      <c r="M385" s="245">
        <f t="shared" si="39"/>
        <v>0</v>
      </c>
      <c r="N385" s="247">
        <v>0</v>
      </c>
      <c r="O385" s="245">
        <f t="shared" si="41"/>
        <v>0</v>
      </c>
      <c r="P385" s="433" t="s">
        <v>1488</v>
      </c>
      <c r="Q385" s="433">
        <v>2019</v>
      </c>
    </row>
    <row r="386" spans="1:17" ht="30">
      <c r="A386" s="258">
        <v>378</v>
      </c>
      <c r="B386" s="252" t="s">
        <v>1781</v>
      </c>
      <c r="C386" s="248" t="s">
        <v>1782</v>
      </c>
      <c r="D386" s="339">
        <v>26.12</v>
      </c>
      <c r="E386" s="340"/>
      <c r="F386" s="245"/>
      <c r="G386" s="246"/>
      <c r="H386" s="340">
        <v>0</v>
      </c>
      <c r="I386" s="245">
        <f t="shared" si="40"/>
        <v>0</v>
      </c>
      <c r="J386" s="247">
        <v>0</v>
      </c>
      <c r="K386" s="245">
        <f t="shared" si="37"/>
        <v>0</v>
      </c>
      <c r="L386" s="262">
        <f t="shared" si="42"/>
        <v>0</v>
      </c>
      <c r="M386" s="245">
        <f t="shared" si="39"/>
        <v>0</v>
      </c>
      <c r="N386" s="247">
        <v>0</v>
      </c>
      <c r="O386" s="245">
        <f t="shared" si="41"/>
        <v>0</v>
      </c>
      <c r="P386" s="433" t="s">
        <v>1488</v>
      </c>
      <c r="Q386" s="433">
        <v>2019</v>
      </c>
    </row>
    <row r="387" spans="1:17" ht="30">
      <c r="A387" s="258">
        <v>379</v>
      </c>
      <c r="B387" s="252" t="s">
        <v>1783</v>
      </c>
      <c r="C387" s="248" t="s">
        <v>1784</v>
      </c>
      <c r="D387" s="339">
        <v>10</v>
      </c>
      <c r="E387" s="340"/>
      <c r="F387" s="245"/>
      <c r="G387" s="246"/>
      <c r="H387" s="340">
        <v>0</v>
      </c>
      <c r="I387" s="245">
        <f t="shared" si="40"/>
        <v>0</v>
      </c>
      <c r="J387" s="247">
        <v>0</v>
      </c>
      <c r="K387" s="245">
        <f t="shared" si="37"/>
        <v>0</v>
      </c>
      <c r="L387" s="262">
        <f t="shared" si="42"/>
        <v>0</v>
      </c>
      <c r="M387" s="245">
        <f t="shared" si="39"/>
        <v>0</v>
      </c>
      <c r="N387" s="247">
        <v>0</v>
      </c>
      <c r="O387" s="245">
        <f t="shared" si="41"/>
        <v>0</v>
      </c>
      <c r="P387" s="433" t="s">
        <v>1488</v>
      </c>
      <c r="Q387" s="433">
        <v>2019</v>
      </c>
    </row>
    <row r="388" spans="1:17" ht="30">
      <c r="A388" s="258">
        <v>380</v>
      </c>
      <c r="B388" s="252" t="s">
        <v>914</v>
      </c>
      <c r="C388" s="248" t="s">
        <v>915</v>
      </c>
      <c r="D388" s="339">
        <v>13.7</v>
      </c>
      <c r="E388" s="340"/>
      <c r="F388" s="245"/>
      <c r="G388" s="246"/>
      <c r="H388" s="340">
        <v>0</v>
      </c>
      <c r="I388" s="245">
        <f t="shared" si="40"/>
        <v>0</v>
      </c>
      <c r="J388" s="247">
        <v>0</v>
      </c>
      <c r="K388" s="245">
        <f t="shared" si="37"/>
        <v>0</v>
      </c>
      <c r="L388" s="262">
        <f t="shared" si="42"/>
        <v>0</v>
      </c>
      <c r="M388" s="245">
        <f t="shared" si="39"/>
        <v>0</v>
      </c>
      <c r="N388" s="247">
        <v>0</v>
      </c>
      <c r="O388" s="245">
        <f t="shared" si="41"/>
        <v>0</v>
      </c>
      <c r="P388" s="433" t="s">
        <v>1488</v>
      </c>
      <c r="Q388" s="433">
        <v>2019</v>
      </c>
    </row>
    <row r="389" spans="1:17" ht="30">
      <c r="A389" s="258">
        <v>381</v>
      </c>
      <c r="B389" s="252" t="s">
        <v>1785</v>
      </c>
      <c r="C389" s="248" t="s">
        <v>1786</v>
      </c>
      <c r="D389" s="339">
        <v>3.7</v>
      </c>
      <c r="E389" s="340"/>
      <c r="F389" s="245"/>
      <c r="G389" s="246"/>
      <c r="H389" s="340">
        <v>0</v>
      </c>
      <c r="I389" s="245">
        <f t="shared" si="40"/>
        <v>0</v>
      </c>
      <c r="J389" s="247">
        <v>0</v>
      </c>
      <c r="K389" s="245">
        <f t="shared" si="37"/>
        <v>0</v>
      </c>
      <c r="L389" s="262">
        <f t="shared" si="42"/>
        <v>0</v>
      </c>
      <c r="M389" s="245">
        <f t="shared" si="39"/>
        <v>0</v>
      </c>
      <c r="N389" s="247">
        <v>0</v>
      </c>
      <c r="O389" s="245">
        <f t="shared" si="41"/>
        <v>0</v>
      </c>
      <c r="P389" s="433" t="s">
        <v>1488</v>
      </c>
      <c r="Q389" s="433">
        <v>2019</v>
      </c>
    </row>
    <row r="390" spans="1:17">
      <c r="A390" s="258">
        <v>382</v>
      </c>
      <c r="B390" s="252" t="s">
        <v>1787</v>
      </c>
      <c r="C390" s="248" t="s">
        <v>1788</v>
      </c>
      <c r="D390" s="339">
        <v>2.54</v>
      </c>
      <c r="E390" s="340"/>
      <c r="F390" s="245"/>
      <c r="G390" s="246"/>
      <c r="H390" s="340">
        <v>0</v>
      </c>
      <c r="I390" s="245">
        <f t="shared" si="40"/>
        <v>0</v>
      </c>
      <c r="J390" s="247">
        <v>0</v>
      </c>
      <c r="K390" s="245">
        <f t="shared" si="37"/>
        <v>0</v>
      </c>
      <c r="L390" s="262">
        <f t="shared" si="42"/>
        <v>0</v>
      </c>
      <c r="M390" s="245">
        <f t="shared" si="39"/>
        <v>0</v>
      </c>
      <c r="N390" s="247">
        <v>0</v>
      </c>
      <c r="O390" s="245">
        <f t="shared" si="41"/>
        <v>0</v>
      </c>
      <c r="P390" s="433" t="s">
        <v>1488</v>
      </c>
      <c r="Q390" s="433">
        <v>2019</v>
      </c>
    </row>
    <row r="391" spans="1:17" ht="30">
      <c r="A391" s="258">
        <v>383</v>
      </c>
      <c r="B391" s="252" t="s">
        <v>1789</v>
      </c>
      <c r="C391" s="248" t="s">
        <v>1790</v>
      </c>
      <c r="D391" s="339">
        <v>9.25</v>
      </c>
      <c r="E391" s="340"/>
      <c r="F391" s="245"/>
      <c r="G391" s="246"/>
      <c r="H391" s="340">
        <v>0</v>
      </c>
      <c r="I391" s="245">
        <f t="shared" si="40"/>
        <v>0</v>
      </c>
      <c r="J391" s="247">
        <v>0</v>
      </c>
      <c r="K391" s="245">
        <f t="shared" si="37"/>
        <v>0</v>
      </c>
      <c r="L391" s="262">
        <f t="shared" si="42"/>
        <v>0</v>
      </c>
      <c r="M391" s="245">
        <f t="shared" si="39"/>
        <v>0</v>
      </c>
      <c r="N391" s="247">
        <v>0</v>
      </c>
      <c r="O391" s="245">
        <f t="shared" si="41"/>
        <v>0</v>
      </c>
      <c r="P391" s="433" t="s">
        <v>1488</v>
      </c>
      <c r="Q391" s="433">
        <v>2019</v>
      </c>
    </row>
    <row r="392" spans="1:17">
      <c r="A392" s="258">
        <v>384</v>
      </c>
      <c r="B392" s="252" t="s">
        <v>1791</v>
      </c>
      <c r="C392" s="248" t="s">
        <v>1792</v>
      </c>
      <c r="D392" s="339">
        <v>22.84</v>
      </c>
      <c r="E392" s="340"/>
      <c r="F392" s="245"/>
      <c r="G392" s="246"/>
      <c r="H392" s="340">
        <v>0</v>
      </c>
      <c r="I392" s="245">
        <f t="shared" si="40"/>
        <v>0</v>
      </c>
      <c r="J392" s="247">
        <v>0</v>
      </c>
      <c r="K392" s="245">
        <f t="shared" si="37"/>
        <v>0</v>
      </c>
      <c r="L392" s="262">
        <f t="shared" si="42"/>
        <v>0</v>
      </c>
      <c r="M392" s="245">
        <f t="shared" si="39"/>
        <v>0</v>
      </c>
      <c r="N392" s="247">
        <v>0</v>
      </c>
      <c r="O392" s="245">
        <f t="shared" si="41"/>
        <v>0</v>
      </c>
      <c r="P392" s="433" t="s">
        <v>1488</v>
      </c>
      <c r="Q392" s="433">
        <v>2019</v>
      </c>
    </row>
    <row r="393" spans="1:17" ht="30">
      <c r="A393" s="258">
        <v>385</v>
      </c>
      <c r="B393" s="252" t="s">
        <v>1793</v>
      </c>
      <c r="C393" s="248" t="s">
        <v>1794</v>
      </c>
      <c r="D393" s="339">
        <v>57.77</v>
      </c>
      <c r="E393" s="340"/>
      <c r="F393" s="245"/>
      <c r="G393" s="246"/>
      <c r="H393" s="340">
        <v>0</v>
      </c>
      <c r="I393" s="245">
        <f t="shared" si="40"/>
        <v>0</v>
      </c>
      <c r="J393" s="247">
        <v>0</v>
      </c>
      <c r="K393" s="245">
        <f t="shared" ref="K393:K456" si="43">J393/D393</f>
        <v>0</v>
      </c>
      <c r="L393" s="262">
        <f t="shared" si="42"/>
        <v>0</v>
      </c>
      <c r="M393" s="245">
        <f t="shared" si="39"/>
        <v>0</v>
      </c>
      <c r="N393" s="247">
        <v>0</v>
      </c>
      <c r="O393" s="245">
        <f t="shared" si="41"/>
        <v>0</v>
      </c>
      <c r="P393" s="433" t="s">
        <v>1488</v>
      </c>
      <c r="Q393" s="433">
        <v>2019</v>
      </c>
    </row>
    <row r="394" spans="1:17" ht="30">
      <c r="A394" s="258">
        <v>386</v>
      </c>
      <c r="B394" s="252" t="s">
        <v>1795</v>
      </c>
      <c r="C394" s="248" t="s">
        <v>1796</v>
      </c>
      <c r="D394" s="339">
        <v>11.115</v>
      </c>
      <c r="E394" s="340"/>
      <c r="F394" s="245"/>
      <c r="G394" s="246"/>
      <c r="H394" s="340">
        <v>0</v>
      </c>
      <c r="I394" s="245">
        <f t="shared" si="40"/>
        <v>0</v>
      </c>
      <c r="J394" s="247">
        <v>0</v>
      </c>
      <c r="K394" s="245">
        <f t="shared" si="43"/>
        <v>0</v>
      </c>
      <c r="L394" s="262">
        <f t="shared" si="42"/>
        <v>0</v>
      </c>
      <c r="M394" s="245">
        <f t="shared" si="39"/>
        <v>0</v>
      </c>
      <c r="N394" s="247">
        <v>0</v>
      </c>
      <c r="O394" s="245">
        <f t="shared" si="41"/>
        <v>0</v>
      </c>
      <c r="P394" s="433" t="s">
        <v>1488</v>
      </c>
      <c r="Q394" s="433">
        <v>2019</v>
      </c>
    </row>
    <row r="395" spans="1:17" ht="30">
      <c r="A395" s="258">
        <v>387</v>
      </c>
      <c r="B395" s="252" t="s">
        <v>1797</v>
      </c>
      <c r="C395" s="248" t="s">
        <v>1798</v>
      </c>
      <c r="D395" s="339">
        <v>13.9</v>
      </c>
      <c r="E395" s="340"/>
      <c r="F395" s="245"/>
      <c r="G395" s="246"/>
      <c r="H395" s="340">
        <v>0</v>
      </c>
      <c r="I395" s="245">
        <f t="shared" si="40"/>
        <v>0</v>
      </c>
      <c r="J395" s="247">
        <v>0</v>
      </c>
      <c r="K395" s="245">
        <f t="shared" si="43"/>
        <v>0</v>
      </c>
      <c r="L395" s="262">
        <f t="shared" si="42"/>
        <v>0</v>
      </c>
      <c r="M395" s="245">
        <f t="shared" si="39"/>
        <v>0</v>
      </c>
      <c r="N395" s="247">
        <v>0</v>
      </c>
      <c r="O395" s="245">
        <f t="shared" si="41"/>
        <v>0</v>
      </c>
      <c r="P395" s="433" t="s">
        <v>1488</v>
      </c>
      <c r="Q395" s="433">
        <v>2019</v>
      </c>
    </row>
    <row r="396" spans="1:17" ht="30">
      <c r="A396" s="258">
        <v>388</v>
      </c>
      <c r="B396" s="252" t="s">
        <v>1799</v>
      </c>
      <c r="C396" s="248" t="s">
        <v>1800</v>
      </c>
      <c r="D396" s="339">
        <v>4</v>
      </c>
      <c r="E396" s="340"/>
      <c r="F396" s="245"/>
      <c r="G396" s="246"/>
      <c r="H396" s="340">
        <v>0</v>
      </c>
      <c r="I396" s="245">
        <f t="shared" si="40"/>
        <v>0</v>
      </c>
      <c r="J396" s="247">
        <v>0</v>
      </c>
      <c r="K396" s="245">
        <f t="shared" si="43"/>
        <v>0</v>
      </c>
      <c r="L396" s="262">
        <f t="shared" si="42"/>
        <v>0</v>
      </c>
      <c r="M396" s="245">
        <f t="shared" si="39"/>
        <v>0</v>
      </c>
      <c r="N396" s="247">
        <v>0</v>
      </c>
      <c r="O396" s="245">
        <f t="shared" si="41"/>
        <v>0</v>
      </c>
      <c r="P396" s="433" t="s">
        <v>1488</v>
      </c>
      <c r="Q396" s="433">
        <v>2019</v>
      </c>
    </row>
    <row r="397" spans="1:17" ht="60">
      <c r="A397" s="258">
        <v>389</v>
      </c>
      <c r="B397" s="252" t="s">
        <v>1801</v>
      </c>
      <c r="C397" s="248" t="s">
        <v>1802</v>
      </c>
      <c r="D397" s="339">
        <v>2.6</v>
      </c>
      <c r="E397" s="340"/>
      <c r="F397" s="245"/>
      <c r="G397" s="246"/>
      <c r="H397" s="340">
        <v>0</v>
      </c>
      <c r="I397" s="245">
        <f t="shared" si="40"/>
        <v>0</v>
      </c>
      <c r="J397" s="247">
        <v>0</v>
      </c>
      <c r="K397" s="245">
        <f t="shared" si="43"/>
        <v>0</v>
      </c>
      <c r="L397" s="262">
        <f t="shared" si="42"/>
        <v>0</v>
      </c>
      <c r="M397" s="245">
        <f t="shared" si="39"/>
        <v>0</v>
      </c>
      <c r="N397" s="247">
        <v>0</v>
      </c>
      <c r="O397" s="245">
        <f t="shared" si="41"/>
        <v>0</v>
      </c>
      <c r="P397" s="433" t="s">
        <v>1488</v>
      </c>
      <c r="Q397" s="433">
        <v>2019</v>
      </c>
    </row>
    <row r="398" spans="1:17" ht="60">
      <c r="A398" s="258">
        <v>390</v>
      </c>
      <c r="B398" s="252" t="s">
        <v>1803</v>
      </c>
      <c r="C398" s="248" t="s">
        <v>1804</v>
      </c>
      <c r="D398" s="339">
        <v>3.26</v>
      </c>
      <c r="E398" s="340"/>
      <c r="F398" s="245"/>
      <c r="G398" s="246"/>
      <c r="H398" s="340">
        <v>0</v>
      </c>
      <c r="I398" s="245">
        <f t="shared" si="40"/>
        <v>0</v>
      </c>
      <c r="J398" s="247">
        <v>0</v>
      </c>
      <c r="K398" s="245">
        <f t="shared" si="43"/>
        <v>0</v>
      </c>
      <c r="L398" s="262">
        <f t="shared" si="42"/>
        <v>0</v>
      </c>
      <c r="M398" s="245">
        <f t="shared" si="39"/>
        <v>0</v>
      </c>
      <c r="N398" s="247">
        <v>0</v>
      </c>
      <c r="O398" s="245">
        <f t="shared" si="41"/>
        <v>0</v>
      </c>
      <c r="P398" s="433" t="s">
        <v>1488</v>
      </c>
      <c r="Q398" s="433">
        <v>2019</v>
      </c>
    </row>
    <row r="399" spans="1:17" ht="30">
      <c r="A399" s="258">
        <v>391</v>
      </c>
      <c r="B399" s="252" t="s">
        <v>1805</v>
      </c>
      <c r="C399" s="248" t="s">
        <v>1806</v>
      </c>
      <c r="D399" s="339">
        <v>1.19</v>
      </c>
      <c r="E399" s="340"/>
      <c r="F399" s="245"/>
      <c r="G399" s="246"/>
      <c r="H399" s="340">
        <v>0</v>
      </c>
      <c r="I399" s="245">
        <f t="shared" si="40"/>
        <v>0</v>
      </c>
      <c r="J399" s="247">
        <v>0</v>
      </c>
      <c r="K399" s="245">
        <f t="shared" si="43"/>
        <v>0</v>
      </c>
      <c r="L399" s="262">
        <f t="shared" si="42"/>
        <v>0</v>
      </c>
      <c r="M399" s="245">
        <f t="shared" si="39"/>
        <v>0</v>
      </c>
      <c r="N399" s="247">
        <v>0</v>
      </c>
      <c r="O399" s="245">
        <f t="shared" si="41"/>
        <v>0</v>
      </c>
      <c r="P399" s="433" t="s">
        <v>1488</v>
      </c>
      <c r="Q399" s="433">
        <v>2019</v>
      </c>
    </row>
    <row r="400" spans="1:17" ht="30">
      <c r="A400" s="258">
        <v>392</v>
      </c>
      <c r="B400" s="252" t="s">
        <v>1807</v>
      </c>
      <c r="C400" s="248" t="s">
        <v>1808</v>
      </c>
      <c r="D400" s="339">
        <v>5.2</v>
      </c>
      <c r="E400" s="340"/>
      <c r="F400" s="245"/>
      <c r="G400" s="246"/>
      <c r="H400" s="340">
        <v>0</v>
      </c>
      <c r="I400" s="245">
        <f t="shared" si="40"/>
        <v>0</v>
      </c>
      <c r="J400" s="247">
        <v>0</v>
      </c>
      <c r="K400" s="245">
        <f t="shared" si="43"/>
        <v>0</v>
      </c>
      <c r="L400" s="262">
        <f t="shared" si="42"/>
        <v>0</v>
      </c>
      <c r="M400" s="245">
        <f t="shared" si="39"/>
        <v>0</v>
      </c>
      <c r="N400" s="247">
        <v>0</v>
      </c>
      <c r="O400" s="245">
        <f t="shared" si="41"/>
        <v>0</v>
      </c>
      <c r="P400" s="433" t="s">
        <v>1488</v>
      </c>
      <c r="Q400" s="433">
        <v>2019</v>
      </c>
    </row>
    <row r="401" spans="1:17" ht="30">
      <c r="A401" s="258">
        <v>393</v>
      </c>
      <c r="B401" s="252" t="s">
        <v>1809</v>
      </c>
      <c r="C401" s="248" t="s">
        <v>1810</v>
      </c>
      <c r="D401" s="339">
        <v>0.8</v>
      </c>
      <c r="E401" s="340"/>
      <c r="F401" s="245"/>
      <c r="G401" s="246"/>
      <c r="H401" s="340">
        <v>0</v>
      </c>
      <c r="I401" s="245">
        <f t="shared" si="40"/>
        <v>0</v>
      </c>
      <c r="J401" s="247">
        <v>0</v>
      </c>
      <c r="K401" s="245">
        <f t="shared" si="43"/>
        <v>0</v>
      </c>
      <c r="L401" s="262">
        <f t="shared" si="42"/>
        <v>0</v>
      </c>
      <c r="M401" s="245">
        <f t="shared" si="39"/>
        <v>0</v>
      </c>
      <c r="N401" s="247">
        <v>0</v>
      </c>
      <c r="O401" s="245">
        <f t="shared" si="41"/>
        <v>0</v>
      </c>
      <c r="P401" s="433" t="s">
        <v>1488</v>
      </c>
      <c r="Q401" s="433">
        <v>2019</v>
      </c>
    </row>
    <row r="402" spans="1:17" ht="30">
      <c r="A402" s="258">
        <v>394</v>
      </c>
      <c r="B402" s="252" t="s">
        <v>1811</v>
      </c>
      <c r="C402" s="248" t="s">
        <v>1812</v>
      </c>
      <c r="D402" s="339">
        <v>0.55000000000000004</v>
      </c>
      <c r="E402" s="340"/>
      <c r="F402" s="245"/>
      <c r="G402" s="246"/>
      <c r="H402" s="340">
        <v>0</v>
      </c>
      <c r="I402" s="245">
        <f t="shared" si="40"/>
        <v>0</v>
      </c>
      <c r="J402" s="247">
        <v>0</v>
      </c>
      <c r="K402" s="245">
        <f t="shared" si="43"/>
        <v>0</v>
      </c>
      <c r="L402" s="262">
        <f t="shared" si="42"/>
        <v>0</v>
      </c>
      <c r="M402" s="245">
        <f t="shared" si="39"/>
        <v>0</v>
      </c>
      <c r="N402" s="247">
        <v>0</v>
      </c>
      <c r="O402" s="245">
        <f t="shared" si="41"/>
        <v>0</v>
      </c>
      <c r="P402" s="433" t="s">
        <v>1488</v>
      </c>
      <c r="Q402" s="433">
        <v>2019</v>
      </c>
    </row>
    <row r="403" spans="1:17" ht="45">
      <c r="A403" s="258">
        <v>395</v>
      </c>
      <c r="B403" s="252" t="s">
        <v>1813</v>
      </c>
      <c r="C403" s="248" t="s">
        <v>1814</v>
      </c>
      <c r="D403" s="339">
        <v>15.52</v>
      </c>
      <c r="E403" s="340"/>
      <c r="F403" s="245"/>
      <c r="G403" s="246"/>
      <c r="H403" s="340">
        <v>0</v>
      </c>
      <c r="I403" s="245">
        <f t="shared" si="40"/>
        <v>0</v>
      </c>
      <c r="J403" s="247">
        <v>0</v>
      </c>
      <c r="K403" s="245">
        <f t="shared" si="43"/>
        <v>0</v>
      </c>
      <c r="L403" s="262">
        <f t="shared" si="42"/>
        <v>0</v>
      </c>
      <c r="M403" s="245">
        <f t="shared" ref="M403:M466" si="44">L403/D403</f>
        <v>0</v>
      </c>
      <c r="N403" s="247">
        <v>0</v>
      </c>
      <c r="O403" s="245">
        <f t="shared" si="41"/>
        <v>0</v>
      </c>
      <c r="P403" s="433" t="s">
        <v>1488</v>
      </c>
      <c r="Q403" s="433">
        <v>2019</v>
      </c>
    </row>
    <row r="404" spans="1:17" ht="45">
      <c r="A404" s="258">
        <v>396</v>
      </c>
      <c r="B404" s="252" t="s">
        <v>1815</v>
      </c>
      <c r="C404" s="248" t="s">
        <v>1816</v>
      </c>
      <c r="D404" s="339">
        <v>0.7</v>
      </c>
      <c r="E404" s="340"/>
      <c r="F404" s="245"/>
      <c r="G404" s="246"/>
      <c r="H404" s="340">
        <v>0</v>
      </c>
      <c r="I404" s="245">
        <f t="shared" si="40"/>
        <v>0</v>
      </c>
      <c r="J404" s="247">
        <v>0</v>
      </c>
      <c r="K404" s="245">
        <f t="shared" si="43"/>
        <v>0</v>
      </c>
      <c r="L404" s="262">
        <f t="shared" si="42"/>
        <v>0</v>
      </c>
      <c r="M404" s="245">
        <f t="shared" si="44"/>
        <v>0</v>
      </c>
      <c r="N404" s="247">
        <v>0</v>
      </c>
      <c r="O404" s="245">
        <f t="shared" si="41"/>
        <v>0</v>
      </c>
      <c r="P404" s="433" t="s">
        <v>1488</v>
      </c>
      <c r="Q404" s="433">
        <v>2019</v>
      </c>
    </row>
    <row r="405" spans="1:17" ht="30">
      <c r="A405" s="258">
        <v>397</v>
      </c>
      <c r="B405" s="252" t="s">
        <v>1817</v>
      </c>
      <c r="C405" s="248" t="s">
        <v>1818</v>
      </c>
      <c r="D405" s="339">
        <v>21.35</v>
      </c>
      <c r="E405" s="340"/>
      <c r="F405" s="245"/>
      <c r="G405" s="246"/>
      <c r="H405" s="340">
        <v>0</v>
      </c>
      <c r="I405" s="245">
        <f t="shared" si="40"/>
        <v>0</v>
      </c>
      <c r="J405" s="247">
        <v>0</v>
      </c>
      <c r="K405" s="245">
        <f t="shared" si="43"/>
        <v>0</v>
      </c>
      <c r="L405" s="262">
        <f t="shared" si="42"/>
        <v>0</v>
      </c>
      <c r="M405" s="245">
        <f t="shared" si="44"/>
        <v>0</v>
      </c>
      <c r="N405" s="247">
        <v>0</v>
      </c>
      <c r="O405" s="245">
        <f t="shared" si="41"/>
        <v>0</v>
      </c>
      <c r="P405" s="433" t="s">
        <v>1488</v>
      </c>
      <c r="Q405" s="433">
        <v>2019</v>
      </c>
    </row>
    <row r="406" spans="1:17" ht="30">
      <c r="A406" s="258">
        <v>398</v>
      </c>
      <c r="B406" s="252" t="s">
        <v>1819</v>
      </c>
      <c r="C406" s="248" t="s">
        <v>1820</v>
      </c>
      <c r="D406" s="339">
        <v>33.9</v>
      </c>
      <c r="E406" s="340"/>
      <c r="F406" s="245"/>
      <c r="G406" s="246"/>
      <c r="H406" s="340">
        <v>0</v>
      </c>
      <c r="I406" s="245">
        <f t="shared" si="40"/>
        <v>0</v>
      </c>
      <c r="J406" s="247">
        <v>0</v>
      </c>
      <c r="K406" s="245">
        <f t="shared" si="43"/>
        <v>0</v>
      </c>
      <c r="L406" s="262">
        <f t="shared" si="42"/>
        <v>0</v>
      </c>
      <c r="M406" s="245">
        <f t="shared" si="44"/>
        <v>0</v>
      </c>
      <c r="N406" s="247">
        <v>0</v>
      </c>
      <c r="O406" s="245">
        <f t="shared" si="41"/>
        <v>0</v>
      </c>
      <c r="P406" s="433" t="s">
        <v>1488</v>
      </c>
      <c r="Q406" s="433">
        <v>2019</v>
      </c>
    </row>
    <row r="407" spans="1:17" ht="30">
      <c r="A407" s="258">
        <v>399</v>
      </c>
      <c r="B407" s="252" t="s">
        <v>1821</v>
      </c>
      <c r="C407" s="248" t="s">
        <v>1822</v>
      </c>
      <c r="D407" s="339">
        <v>1.9</v>
      </c>
      <c r="E407" s="340"/>
      <c r="F407" s="245"/>
      <c r="G407" s="246"/>
      <c r="H407" s="340">
        <v>0</v>
      </c>
      <c r="I407" s="245">
        <f t="shared" si="40"/>
        <v>0</v>
      </c>
      <c r="J407" s="247">
        <v>0</v>
      </c>
      <c r="K407" s="245">
        <f t="shared" si="43"/>
        <v>0</v>
      </c>
      <c r="L407" s="262">
        <f t="shared" si="42"/>
        <v>0</v>
      </c>
      <c r="M407" s="245">
        <f t="shared" si="44"/>
        <v>0</v>
      </c>
      <c r="N407" s="247">
        <v>0</v>
      </c>
      <c r="O407" s="245">
        <f t="shared" si="41"/>
        <v>0</v>
      </c>
      <c r="P407" s="433" t="s">
        <v>1488</v>
      </c>
      <c r="Q407" s="433">
        <v>2019</v>
      </c>
    </row>
    <row r="408" spans="1:17" ht="30">
      <c r="A408" s="258">
        <v>400</v>
      </c>
      <c r="B408" s="252" t="s">
        <v>1823</v>
      </c>
      <c r="C408" s="248" t="s">
        <v>1824</v>
      </c>
      <c r="D408" s="339">
        <v>1.56</v>
      </c>
      <c r="E408" s="340"/>
      <c r="F408" s="245"/>
      <c r="G408" s="246"/>
      <c r="H408" s="340">
        <v>0</v>
      </c>
      <c r="I408" s="245">
        <f t="shared" si="40"/>
        <v>0</v>
      </c>
      <c r="J408" s="247">
        <v>0</v>
      </c>
      <c r="K408" s="245">
        <f t="shared" si="43"/>
        <v>0</v>
      </c>
      <c r="L408" s="262">
        <f t="shared" si="42"/>
        <v>0</v>
      </c>
      <c r="M408" s="245">
        <f t="shared" si="44"/>
        <v>0</v>
      </c>
      <c r="N408" s="247">
        <v>0</v>
      </c>
      <c r="O408" s="245">
        <f t="shared" si="41"/>
        <v>0</v>
      </c>
      <c r="P408" s="433" t="s">
        <v>1488</v>
      </c>
      <c r="Q408" s="433">
        <v>2019</v>
      </c>
    </row>
    <row r="409" spans="1:17" ht="30">
      <c r="A409" s="258">
        <v>401</v>
      </c>
      <c r="B409" s="252" t="s">
        <v>1825</v>
      </c>
      <c r="C409" s="248" t="s">
        <v>1826</v>
      </c>
      <c r="D409" s="339">
        <v>21.99</v>
      </c>
      <c r="E409" s="340"/>
      <c r="F409" s="245"/>
      <c r="G409" s="246"/>
      <c r="H409" s="340">
        <v>0</v>
      </c>
      <c r="I409" s="245">
        <f t="shared" si="40"/>
        <v>0</v>
      </c>
      <c r="J409" s="247">
        <v>0</v>
      </c>
      <c r="K409" s="245">
        <f t="shared" si="43"/>
        <v>0</v>
      </c>
      <c r="L409" s="262">
        <f t="shared" si="42"/>
        <v>0</v>
      </c>
      <c r="M409" s="245">
        <f t="shared" si="44"/>
        <v>0</v>
      </c>
      <c r="N409" s="247">
        <v>0</v>
      </c>
      <c r="O409" s="245">
        <f t="shared" si="41"/>
        <v>0</v>
      </c>
      <c r="P409" s="433" t="s">
        <v>1488</v>
      </c>
      <c r="Q409" s="433">
        <v>2019</v>
      </c>
    </row>
    <row r="410" spans="1:17" ht="30">
      <c r="A410" s="258">
        <v>402</v>
      </c>
      <c r="B410" s="252" t="s">
        <v>1827</v>
      </c>
      <c r="C410" s="248" t="s">
        <v>1828</v>
      </c>
      <c r="D410" s="339">
        <v>12.2</v>
      </c>
      <c r="E410" s="340"/>
      <c r="F410" s="245"/>
      <c r="G410" s="246"/>
      <c r="H410" s="340">
        <v>0</v>
      </c>
      <c r="I410" s="245">
        <f t="shared" si="40"/>
        <v>0</v>
      </c>
      <c r="J410" s="247">
        <v>0</v>
      </c>
      <c r="K410" s="245">
        <f t="shared" si="43"/>
        <v>0</v>
      </c>
      <c r="L410" s="262">
        <f t="shared" si="42"/>
        <v>0</v>
      </c>
      <c r="M410" s="245">
        <f t="shared" si="44"/>
        <v>0</v>
      </c>
      <c r="N410" s="247">
        <v>0</v>
      </c>
      <c r="O410" s="245">
        <f t="shared" si="41"/>
        <v>0</v>
      </c>
      <c r="P410" s="433" t="s">
        <v>1488</v>
      </c>
      <c r="Q410" s="433">
        <v>2019</v>
      </c>
    </row>
    <row r="411" spans="1:17" ht="30">
      <c r="A411" s="258">
        <v>403</v>
      </c>
      <c r="B411" s="252" t="s">
        <v>1829</v>
      </c>
      <c r="C411" s="248" t="s">
        <v>1830</v>
      </c>
      <c r="D411" s="339">
        <v>8.2949999999999999</v>
      </c>
      <c r="E411" s="340"/>
      <c r="F411" s="245"/>
      <c r="G411" s="246"/>
      <c r="H411" s="340">
        <v>0</v>
      </c>
      <c r="I411" s="245">
        <f t="shared" si="40"/>
        <v>0</v>
      </c>
      <c r="J411" s="247">
        <v>0</v>
      </c>
      <c r="K411" s="245">
        <f t="shared" si="43"/>
        <v>0</v>
      </c>
      <c r="L411" s="262">
        <f t="shared" si="42"/>
        <v>0</v>
      </c>
      <c r="M411" s="245">
        <f t="shared" si="44"/>
        <v>0</v>
      </c>
      <c r="N411" s="247">
        <v>0</v>
      </c>
      <c r="O411" s="245">
        <f t="shared" ref="O411:O442" si="45">N411/D411</f>
        <v>0</v>
      </c>
      <c r="P411" s="433" t="s">
        <v>1488</v>
      </c>
      <c r="Q411" s="433">
        <v>2019</v>
      </c>
    </row>
    <row r="412" spans="1:17" ht="45">
      <c r="A412" s="258">
        <v>404</v>
      </c>
      <c r="B412" s="252" t="s">
        <v>1831</v>
      </c>
      <c r="C412" s="248" t="s">
        <v>1832</v>
      </c>
      <c r="D412" s="339">
        <v>1.67</v>
      </c>
      <c r="E412" s="340"/>
      <c r="F412" s="245"/>
      <c r="G412" s="246"/>
      <c r="H412" s="340">
        <v>0</v>
      </c>
      <c r="I412" s="245">
        <f t="shared" si="40"/>
        <v>0</v>
      </c>
      <c r="J412" s="247">
        <v>0</v>
      </c>
      <c r="K412" s="245">
        <f t="shared" si="43"/>
        <v>0</v>
      </c>
      <c r="L412" s="262">
        <f t="shared" si="42"/>
        <v>0</v>
      </c>
      <c r="M412" s="245">
        <f t="shared" si="44"/>
        <v>0</v>
      </c>
      <c r="N412" s="247">
        <v>0</v>
      </c>
      <c r="O412" s="245">
        <f t="shared" si="45"/>
        <v>0</v>
      </c>
      <c r="P412" s="433" t="s">
        <v>1488</v>
      </c>
      <c r="Q412" s="433">
        <v>2019</v>
      </c>
    </row>
    <row r="413" spans="1:17" ht="45">
      <c r="A413" s="258">
        <v>405</v>
      </c>
      <c r="B413" s="252" t="s">
        <v>1833</v>
      </c>
      <c r="C413" s="248" t="s">
        <v>1834</v>
      </c>
      <c r="D413" s="339">
        <v>0.38</v>
      </c>
      <c r="E413" s="340"/>
      <c r="F413" s="245"/>
      <c r="G413" s="246"/>
      <c r="H413" s="340">
        <v>0</v>
      </c>
      <c r="I413" s="245">
        <f t="shared" si="40"/>
        <v>0</v>
      </c>
      <c r="J413" s="247">
        <v>0</v>
      </c>
      <c r="K413" s="245">
        <f t="shared" si="43"/>
        <v>0</v>
      </c>
      <c r="L413" s="262">
        <f t="shared" si="42"/>
        <v>0</v>
      </c>
      <c r="M413" s="245">
        <f t="shared" si="44"/>
        <v>0</v>
      </c>
      <c r="N413" s="247">
        <v>0</v>
      </c>
      <c r="O413" s="245">
        <f t="shared" si="45"/>
        <v>0</v>
      </c>
      <c r="P413" s="433" t="s">
        <v>1488</v>
      </c>
      <c r="Q413" s="433">
        <v>2019</v>
      </c>
    </row>
    <row r="414" spans="1:17" ht="45">
      <c r="A414" s="258">
        <v>406</v>
      </c>
      <c r="B414" s="252" t="s">
        <v>1835</v>
      </c>
      <c r="C414" s="248" t="s">
        <v>1836</v>
      </c>
      <c r="D414" s="339">
        <v>1.78</v>
      </c>
      <c r="E414" s="340"/>
      <c r="F414" s="245"/>
      <c r="G414" s="246"/>
      <c r="H414" s="340">
        <v>0</v>
      </c>
      <c r="I414" s="245">
        <f t="shared" si="40"/>
        <v>0</v>
      </c>
      <c r="J414" s="247">
        <v>0</v>
      </c>
      <c r="K414" s="245">
        <f t="shared" si="43"/>
        <v>0</v>
      </c>
      <c r="L414" s="262">
        <f t="shared" si="42"/>
        <v>0</v>
      </c>
      <c r="M414" s="245">
        <f t="shared" si="44"/>
        <v>0</v>
      </c>
      <c r="N414" s="247">
        <v>0</v>
      </c>
      <c r="O414" s="245">
        <f t="shared" si="45"/>
        <v>0</v>
      </c>
      <c r="P414" s="433" t="s">
        <v>1488</v>
      </c>
      <c r="Q414" s="433">
        <v>2019</v>
      </c>
    </row>
    <row r="415" spans="1:17" ht="45">
      <c r="A415" s="258">
        <v>407</v>
      </c>
      <c r="B415" s="252" t="s">
        <v>1837</v>
      </c>
      <c r="C415" s="248" t="s">
        <v>1838</v>
      </c>
      <c r="D415" s="339">
        <v>3.2</v>
      </c>
      <c r="E415" s="340"/>
      <c r="F415" s="245"/>
      <c r="G415" s="246"/>
      <c r="H415" s="340">
        <v>0</v>
      </c>
      <c r="I415" s="245">
        <f t="shared" si="40"/>
        <v>0</v>
      </c>
      <c r="J415" s="247">
        <v>0</v>
      </c>
      <c r="K415" s="245">
        <f t="shared" si="43"/>
        <v>0</v>
      </c>
      <c r="L415" s="262">
        <f t="shared" si="42"/>
        <v>0</v>
      </c>
      <c r="M415" s="245">
        <f t="shared" si="44"/>
        <v>0</v>
      </c>
      <c r="N415" s="247">
        <v>0</v>
      </c>
      <c r="O415" s="245">
        <f t="shared" si="45"/>
        <v>0</v>
      </c>
      <c r="P415" s="433" t="s">
        <v>1488</v>
      </c>
      <c r="Q415" s="433">
        <v>2019</v>
      </c>
    </row>
    <row r="416" spans="1:17" ht="60">
      <c r="A416" s="258">
        <v>408</v>
      </c>
      <c r="B416" s="252" t="s">
        <v>1839</v>
      </c>
      <c r="C416" s="248" t="s">
        <v>1840</v>
      </c>
      <c r="D416" s="339">
        <v>25.355</v>
      </c>
      <c r="E416" s="340"/>
      <c r="F416" s="245"/>
      <c r="G416" s="246"/>
      <c r="H416" s="339">
        <v>0</v>
      </c>
      <c r="I416" s="245">
        <v>0</v>
      </c>
      <c r="J416" s="247">
        <v>0</v>
      </c>
      <c r="K416" s="245">
        <f t="shared" si="43"/>
        <v>0</v>
      </c>
      <c r="L416" s="262">
        <f t="shared" si="42"/>
        <v>0</v>
      </c>
      <c r="M416" s="245">
        <f t="shared" si="44"/>
        <v>0</v>
      </c>
      <c r="N416" s="247">
        <v>0</v>
      </c>
      <c r="O416" s="245">
        <f t="shared" si="45"/>
        <v>0</v>
      </c>
      <c r="P416" s="433" t="s">
        <v>1488</v>
      </c>
      <c r="Q416" s="433">
        <v>2019</v>
      </c>
    </row>
    <row r="417" spans="1:17" ht="60">
      <c r="A417" s="258">
        <v>409</v>
      </c>
      <c r="B417" s="252" t="s">
        <v>1841</v>
      </c>
      <c r="C417" s="248" t="s">
        <v>1842</v>
      </c>
      <c r="D417" s="339">
        <v>36.36</v>
      </c>
      <c r="E417" s="340"/>
      <c r="F417" s="245"/>
      <c r="G417" s="246"/>
      <c r="H417" s="340">
        <v>0</v>
      </c>
      <c r="I417" s="245">
        <f t="shared" si="40"/>
        <v>0</v>
      </c>
      <c r="J417" s="247">
        <v>0</v>
      </c>
      <c r="K417" s="245">
        <f t="shared" si="43"/>
        <v>0</v>
      </c>
      <c r="L417" s="262">
        <f t="shared" si="42"/>
        <v>0</v>
      </c>
      <c r="M417" s="245">
        <f t="shared" si="44"/>
        <v>0</v>
      </c>
      <c r="N417" s="247">
        <v>0</v>
      </c>
      <c r="O417" s="245">
        <f t="shared" si="45"/>
        <v>0</v>
      </c>
      <c r="P417" s="433" t="s">
        <v>1488</v>
      </c>
      <c r="Q417" s="433">
        <v>2019</v>
      </c>
    </row>
    <row r="418" spans="1:17" ht="60">
      <c r="A418" s="258">
        <v>410</v>
      </c>
      <c r="B418" s="252" t="s">
        <v>1843</v>
      </c>
      <c r="C418" s="248" t="s">
        <v>1844</v>
      </c>
      <c r="D418" s="339">
        <v>1.746</v>
      </c>
      <c r="E418" s="340"/>
      <c r="F418" s="245"/>
      <c r="G418" s="246"/>
      <c r="H418" s="340">
        <v>0</v>
      </c>
      <c r="I418" s="245">
        <f t="shared" si="40"/>
        <v>0</v>
      </c>
      <c r="J418" s="247">
        <v>0</v>
      </c>
      <c r="K418" s="245">
        <f t="shared" si="43"/>
        <v>0</v>
      </c>
      <c r="L418" s="262">
        <f t="shared" si="42"/>
        <v>0</v>
      </c>
      <c r="M418" s="245">
        <f t="shared" si="44"/>
        <v>0</v>
      </c>
      <c r="N418" s="247">
        <v>0</v>
      </c>
      <c r="O418" s="245">
        <f t="shared" si="45"/>
        <v>0</v>
      </c>
      <c r="P418" s="433" t="s">
        <v>1488</v>
      </c>
      <c r="Q418" s="433">
        <v>2019</v>
      </c>
    </row>
    <row r="419" spans="1:17" ht="60">
      <c r="A419" s="258">
        <v>411</v>
      </c>
      <c r="B419" s="252" t="s">
        <v>1845</v>
      </c>
      <c r="C419" s="248" t="s">
        <v>1846</v>
      </c>
      <c r="D419" s="339">
        <v>3.45</v>
      </c>
      <c r="E419" s="340"/>
      <c r="F419" s="245"/>
      <c r="G419" s="246"/>
      <c r="H419" s="340">
        <v>0</v>
      </c>
      <c r="I419" s="245">
        <f t="shared" si="40"/>
        <v>0</v>
      </c>
      <c r="J419" s="247">
        <v>0</v>
      </c>
      <c r="K419" s="245">
        <f t="shared" si="43"/>
        <v>0</v>
      </c>
      <c r="L419" s="262">
        <f t="shared" si="42"/>
        <v>0</v>
      </c>
      <c r="M419" s="245">
        <f t="shared" si="44"/>
        <v>0</v>
      </c>
      <c r="N419" s="247">
        <v>0</v>
      </c>
      <c r="O419" s="245">
        <f t="shared" si="45"/>
        <v>0</v>
      </c>
      <c r="P419" s="433" t="s">
        <v>1488</v>
      </c>
      <c r="Q419" s="433">
        <v>2019</v>
      </c>
    </row>
    <row r="420" spans="1:17">
      <c r="A420" s="258">
        <v>412</v>
      </c>
      <c r="B420" s="252" t="s">
        <v>1847</v>
      </c>
      <c r="C420" s="248" t="s">
        <v>1848</v>
      </c>
      <c r="D420" s="339">
        <v>2.2400000000000002</v>
      </c>
      <c r="E420" s="340"/>
      <c r="F420" s="245"/>
      <c r="G420" s="246"/>
      <c r="H420" s="340">
        <v>0</v>
      </c>
      <c r="I420" s="245">
        <f t="shared" ref="I420:I478" si="46">H420/D420</f>
        <v>0</v>
      </c>
      <c r="J420" s="247">
        <v>0</v>
      </c>
      <c r="K420" s="245">
        <f t="shared" si="43"/>
        <v>0</v>
      </c>
      <c r="L420" s="262">
        <f t="shared" si="42"/>
        <v>0</v>
      </c>
      <c r="M420" s="245">
        <f t="shared" si="44"/>
        <v>0</v>
      </c>
      <c r="N420" s="247">
        <v>0</v>
      </c>
      <c r="O420" s="245">
        <f t="shared" si="45"/>
        <v>0</v>
      </c>
      <c r="P420" s="433" t="s">
        <v>1488</v>
      </c>
      <c r="Q420" s="433">
        <v>2019</v>
      </c>
    </row>
    <row r="421" spans="1:17" ht="45">
      <c r="A421" s="258">
        <v>413</v>
      </c>
      <c r="B421" s="252" t="s">
        <v>1849</v>
      </c>
      <c r="C421" s="248" t="s">
        <v>1850</v>
      </c>
      <c r="D421" s="339">
        <v>1.2</v>
      </c>
      <c r="E421" s="340"/>
      <c r="F421" s="245"/>
      <c r="G421" s="246"/>
      <c r="H421" s="340">
        <v>0</v>
      </c>
      <c r="I421" s="245">
        <f t="shared" si="46"/>
        <v>0</v>
      </c>
      <c r="J421" s="247">
        <v>0</v>
      </c>
      <c r="K421" s="245">
        <f t="shared" si="43"/>
        <v>0</v>
      </c>
      <c r="L421" s="262">
        <f t="shared" si="42"/>
        <v>0</v>
      </c>
      <c r="M421" s="245">
        <f t="shared" si="44"/>
        <v>0</v>
      </c>
      <c r="N421" s="247">
        <v>0</v>
      </c>
      <c r="O421" s="245">
        <f t="shared" si="45"/>
        <v>0</v>
      </c>
      <c r="P421" s="433" t="s">
        <v>1488</v>
      </c>
      <c r="Q421" s="433">
        <v>2019</v>
      </c>
    </row>
    <row r="422" spans="1:17" ht="45">
      <c r="A422" s="258">
        <v>414</v>
      </c>
      <c r="B422" s="252" t="s">
        <v>1851</v>
      </c>
      <c r="C422" s="248" t="s">
        <v>1852</v>
      </c>
      <c r="D422" s="339">
        <v>18.706</v>
      </c>
      <c r="E422" s="340"/>
      <c r="F422" s="245"/>
      <c r="G422" s="246"/>
      <c r="H422" s="340">
        <v>5</v>
      </c>
      <c r="I422" s="245">
        <f t="shared" si="46"/>
        <v>0.26729391639046296</v>
      </c>
      <c r="J422" s="247">
        <v>0</v>
      </c>
      <c r="K422" s="245">
        <f t="shared" si="43"/>
        <v>0</v>
      </c>
      <c r="L422" s="262">
        <f t="shared" si="42"/>
        <v>0</v>
      </c>
      <c r="M422" s="245">
        <f t="shared" si="44"/>
        <v>0</v>
      </c>
      <c r="N422" s="247">
        <v>0</v>
      </c>
      <c r="O422" s="245">
        <f t="shared" si="45"/>
        <v>0</v>
      </c>
      <c r="P422" s="433" t="s">
        <v>1488</v>
      </c>
      <c r="Q422" s="433">
        <v>2019</v>
      </c>
    </row>
    <row r="423" spans="1:17">
      <c r="A423" s="258">
        <v>415</v>
      </c>
      <c r="B423" s="252" t="s">
        <v>1853</v>
      </c>
      <c r="C423" s="248" t="s">
        <v>1854</v>
      </c>
      <c r="D423" s="339">
        <v>31.864000000000001</v>
      </c>
      <c r="E423" s="340"/>
      <c r="F423" s="245"/>
      <c r="G423" s="246"/>
      <c r="H423" s="340">
        <v>0</v>
      </c>
      <c r="I423" s="245">
        <f t="shared" si="46"/>
        <v>0</v>
      </c>
      <c r="J423" s="247">
        <v>0</v>
      </c>
      <c r="K423" s="245">
        <f t="shared" si="43"/>
        <v>0</v>
      </c>
      <c r="L423" s="262">
        <f t="shared" si="42"/>
        <v>0</v>
      </c>
      <c r="M423" s="245">
        <f t="shared" si="44"/>
        <v>0</v>
      </c>
      <c r="N423" s="247">
        <v>0</v>
      </c>
      <c r="O423" s="245">
        <f t="shared" si="45"/>
        <v>0</v>
      </c>
      <c r="P423" s="433" t="s">
        <v>1488</v>
      </c>
      <c r="Q423" s="433">
        <v>2019</v>
      </c>
    </row>
    <row r="424" spans="1:17" ht="30">
      <c r="A424" s="258">
        <v>416</v>
      </c>
      <c r="B424" s="252" t="s">
        <v>1855</v>
      </c>
      <c r="C424" s="248" t="s">
        <v>1856</v>
      </c>
      <c r="D424" s="339">
        <v>1.399</v>
      </c>
      <c r="E424" s="340"/>
      <c r="F424" s="245"/>
      <c r="G424" s="246"/>
      <c r="H424" s="340">
        <v>0</v>
      </c>
      <c r="I424" s="245">
        <f t="shared" si="46"/>
        <v>0</v>
      </c>
      <c r="J424" s="247">
        <v>0</v>
      </c>
      <c r="K424" s="245">
        <f t="shared" si="43"/>
        <v>0</v>
      </c>
      <c r="L424" s="262">
        <f t="shared" si="42"/>
        <v>0</v>
      </c>
      <c r="M424" s="245">
        <f t="shared" si="44"/>
        <v>0</v>
      </c>
      <c r="N424" s="247">
        <v>0</v>
      </c>
      <c r="O424" s="245">
        <f t="shared" si="45"/>
        <v>0</v>
      </c>
      <c r="P424" s="433" t="s">
        <v>1488</v>
      </c>
      <c r="Q424" s="433">
        <v>2019</v>
      </c>
    </row>
    <row r="425" spans="1:17" ht="30">
      <c r="A425" s="258">
        <v>417</v>
      </c>
      <c r="B425" s="252" t="s">
        <v>1857</v>
      </c>
      <c r="C425" s="248" t="s">
        <v>1858</v>
      </c>
      <c r="D425" s="339">
        <v>0.6</v>
      </c>
      <c r="E425" s="340"/>
      <c r="F425" s="245"/>
      <c r="G425" s="246"/>
      <c r="H425" s="340">
        <v>0</v>
      </c>
      <c r="I425" s="245">
        <f t="shared" si="46"/>
        <v>0</v>
      </c>
      <c r="J425" s="247">
        <v>0</v>
      </c>
      <c r="K425" s="245">
        <f t="shared" si="43"/>
        <v>0</v>
      </c>
      <c r="L425" s="262">
        <f t="shared" si="42"/>
        <v>0</v>
      </c>
      <c r="M425" s="245">
        <f t="shared" si="44"/>
        <v>0</v>
      </c>
      <c r="N425" s="247">
        <v>0</v>
      </c>
      <c r="O425" s="245">
        <f t="shared" si="45"/>
        <v>0</v>
      </c>
      <c r="P425" s="433" t="s">
        <v>1488</v>
      </c>
      <c r="Q425" s="433">
        <v>2019</v>
      </c>
    </row>
    <row r="426" spans="1:17" ht="30">
      <c r="A426" s="258">
        <v>418</v>
      </c>
      <c r="B426" s="252" t="s">
        <v>1859</v>
      </c>
      <c r="C426" s="248" t="s">
        <v>1860</v>
      </c>
      <c r="D426" s="339">
        <v>18.14</v>
      </c>
      <c r="E426" s="340"/>
      <c r="F426" s="245"/>
      <c r="G426" s="246"/>
      <c r="H426" s="340">
        <v>0</v>
      </c>
      <c r="I426" s="245">
        <f t="shared" si="46"/>
        <v>0</v>
      </c>
      <c r="J426" s="247">
        <v>0</v>
      </c>
      <c r="K426" s="245">
        <f t="shared" si="43"/>
        <v>0</v>
      </c>
      <c r="L426" s="262">
        <f t="shared" si="42"/>
        <v>0</v>
      </c>
      <c r="M426" s="245">
        <f t="shared" si="44"/>
        <v>0</v>
      </c>
      <c r="N426" s="247">
        <v>0</v>
      </c>
      <c r="O426" s="245">
        <f t="shared" si="45"/>
        <v>0</v>
      </c>
      <c r="P426" s="433" t="s">
        <v>1488</v>
      </c>
      <c r="Q426" s="433">
        <v>2019</v>
      </c>
    </row>
    <row r="427" spans="1:17" ht="30">
      <c r="A427" s="258">
        <v>419</v>
      </c>
      <c r="B427" s="252" t="s">
        <v>1861</v>
      </c>
      <c r="C427" s="248" t="s">
        <v>1862</v>
      </c>
      <c r="D427" s="339">
        <v>19.593</v>
      </c>
      <c r="E427" s="340"/>
      <c r="F427" s="245"/>
      <c r="G427" s="246"/>
      <c r="H427" s="340">
        <v>0</v>
      </c>
      <c r="I427" s="245">
        <f t="shared" si="46"/>
        <v>0</v>
      </c>
      <c r="J427" s="247">
        <v>0</v>
      </c>
      <c r="K427" s="245">
        <f t="shared" si="43"/>
        <v>0</v>
      </c>
      <c r="L427" s="262">
        <f t="shared" si="42"/>
        <v>0</v>
      </c>
      <c r="M427" s="245">
        <f t="shared" si="44"/>
        <v>0</v>
      </c>
      <c r="N427" s="247">
        <v>0</v>
      </c>
      <c r="O427" s="245">
        <f t="shared" si="45"/>
        <v>0</v>
      </c>
      <c r="P427" s="433" t="s">
        <v>1488</v>
      </c>
      <c r="Q427" s="433">
        <v>2019</v>
      </c>
    </row>
    <row r="428" spans="1:17">
      <c r="A428" s="258">
        <v>420</v>
      </c>
      <c r="B428" s="252" t="s">
        <v>1863</v>
      </c>
      <c r="C428" s="248" t="s">
        <v>1864</v>
      </c>
      <c r="D428" s="339">
        <v>21.6</v>
      </c>
      <c r="E428" s="340"/>
      <c r="F428" s="245"/>
      <c r="G428" s="246"/>
      <c r="H428" s="340">
        <v>0</v>
      </c>
      <c r="I428" s="245">
        <f t="shared" si="46"/>
        <v>0</v>
      </c>
      <c r="J428" s="247">
        <v>0</v>
      </c>
      <c r="K428" s="245">
        <f t="shared" si="43"/>
        <v>0</v>
      </c>
      <c r="L428" s="262">
        <f t="shared" si="42"/>
        <v>0</v>
      </c>
      <c r="M428" s="245">
        <f t="shared" si="44"/>
        <v>0</v>
      </c>
      <c r="N428" s="247">
        <v>0</v>
      </c>
      <c r="O428" s="245">
        <f t="shared" si="45"/>
        <v>0</v>
      </c>
      <c r="P428" s="433" t="s">
        <v>1488</v>
      </c>
      <c r="Q428" s="433">
        <v>2019</v>
      </c>
    </row>
    <row r="429" spans="1:17">
      <c r="A429" s="258">
        <v>421</v>
      </c>
      <c r="B429" s="252" t="s">
        <v>1865</v>
      </c>
      <c r="C429" s="248" t="s">
        <v>1866</v>
      </c>
      <c r="D429" s="339">
        <v>8.94</v>
      </c>
      <c r="E429" s="340"/>
      <c r="F429" s="245"/>
      <c r="G429" s="246"/>
      <c r="H429" s="340">
        <v>0</v>
      </c>
      <c r="I429" s="245">
        <f t="shared" si="46"/>
        <v>0</v>
      </c>
      <c r="J429" s="247">
        <v>0</v>
      </c>
      <c r="K429" s="245">
        <f t="shared" si="43"/>
        <v>0</v>
      </c>
      <c r="L429" s="262">
        <f t="shared" si="42"/>
        <v>0</v>
      </c>
      <c r="M429" s="245">
        <f t="shared" si="44"/>
        <v>0</v>
      </c>
      <c r="N429" s="247">
        <v>0</v>
      </c>
      <c r="O429" s="245">
        <f t="shared" si="45"/>
        <v>0</v>
      </c>
      <c r="P429" s="433" t="s">
        <v>1488</v>
      </c>
      <c r="Q429" s="433">
        <v>2019</v>
      </c>
    </row>
    <row r="430" spans="1:17" ht="30">
      <c r="A430" s="258">
        <v>422</v>
      </c>
      <c r="B430" s="252" t="s">
        <v>1867</v>
      </c>
      <c r="C430" s="248" t="s">
        <v>1868</v>
      </c>
      <c r="D430" s="339">
        <v>9.2899999999999991</v>
      </c>
      <c r="E430" s="340"/>
      <c r="F430" s="245"/>
      <c r="G430" s="246"/>
      <c r="H430" s="340">
        <v>0</v>
      </c>
      <c r="I430" s="245">
        <f t="shared" si="46"/>
        <v>0</v>
      </c>
      <c r="J430" s="247">
        <v>0</v>
      </c>
      <c r="K430" s="245">
        <f t="shared" si="43"/>
        <v>0</v>
      </c>
      <c r="L430" s="262">
        <f t="shared" si="42"/>
        <v>0</v>
      </c>
      <c r="M430" s="245">
        <f t="shared" si="44"/>
        <v>0</v>
      </c>
      <c r="N430" s="247">
        <v>0</v>
      </c>
      <c r="O430" s="245">
        <f t="shared" si="45"/>
        <v>0</v>
      </c>
      <c r="P430" s="433" t="s">
        <v>1488</v>
      </c>
      <c r="Q430" s="433">
        <v>2019</v>
      </c>
    </row>
    <row r="431" spans="1:17" ht="30">
      <c r="A431" s="258">
        <v>423</v>
      </c>
      <c r="B431" s="252" t="s">
        <v>1869</v>
      </c>
      <c r="C431" s="248" t="s">
        <v>1870</v>
      </c>
      <c r="D431" s="339">
        <v>2.63</v>
      </c>
      <c r="E431" s="340"/>
      <c r="F431" s="245"/>
      <c r="G431" s="246"/>
      <c r="H431" s="340">
        <v>0</v>
      </c>
      <c r="I431" s="245">
        <f t="shared" si="46"/>
        <v>0</v>
      </c>
      <c r="J431" s="247">
        <v>0</v>
      </c>
      <c r="K431" s="245">
        <f t="shared" si="43"/>
        <v>0</v>
      </c>
      <c r="L431" s="262">
        <f t="shared" si="42"/>
        <v>0</v>
      </c>
      <c r="M431" s="245">
        <f t="shared" si="44"/>
        <v>0</v>
      </c>
      <c r="N431" s="247">
        <v>0</v>
      </c>
      <c r="O431" s="245">
        <f t="shared" si="45"/>
        <v>0</v>
      </c>
      <c r="P431" s="433" t="s">
        <v>1488</v>
      </c>
      <c r="Q431" s="433">
        <v>2019</v>
      </c>
    </row>
    <row r="432" spans="1:17" ht="30">
      <c r="A432" s="258">
        <v>424</v>
      </c>
      <c r="B432" s="252" t="s">
        <v>1871</v>
      </c>
      <c r="C432" s="248" t="s">
        <v>1872</v>
      </c>
      <c r="D432" s="339">
        <v>1.3</v>
      </c>
      <c r="E432" s="340"/>
      <c r="F432" s="245"/>
      <c r="G432" s="246"/>
      <c r="H432" s="340">
        <v>0</v>
      </c>
      <c r="I432" s="245">
        <f t="shared" si="46"/>
        <v>0</v>
      </c>
      <c r="J432" s="247">
        <v>0</v>
      </c>
      <c r="K432" s="245">
        <f t="shared" si="43"/>
        <v>0</v>
      </c>
      <c r="L432" s="262">
        <f t="shared" si="42"/>
        <v>0</v>
      </c>
      <c r="M432" s="245">
        <f t="shared" si="44"/>
        <v>0</v>
      </c>
      <c r="N432" s="247">
        <v>0</v>
      </c>
      <c r="O432" s="245">
        <f t="shared" si="45"/>
        <v>0</v>
      </c>
      <c r="P432" s="433" t="s">
        <v>1488</v>
      </c>
      <c r="Q432" s="433">
        <v>2019</v>
      </c>
    </row>
    <row r="433" spans="1:17" ht="30">
      <c r="A433" s="258">
        <v>425</v>
      </c>
      <c r="B433" s="252" t="s">
        <v>1873</v>
      </c>
      <c r="C433" s="248" t="s">
        <v>1874</v>
      </c>
      <c r="D433" s="339">
        <v>0.86</v>
      </c>
      <c r="E433" s="340"/>
      <c r="F433" s="245"/>
      <c r="G433" s="246"/>
      <c r="H433" s="340">
        <v>0</v>
      </c>
      <c r="I433" s="245">
        <f t="shared" si="46"/>
        <v>0</v>
      </c>
      <c r="J433" s="247">
        <v>0</v>
      </c>
      <c r="K433" s="245">
        <f t="shared" si="43"/>
        <v>0</v>
      </c>
      <c r="L433" s="262">
        <f t="shared" si="42"/>
        <v>0</v>
      </c>
      <c r="M433" s="245">
        <f t="shared" si="44"/>
        <v>0</v>
      </c>
      <c r="N433" s="247">
        <v>0</v>
      </c>
      <c r="O433" s="245">
        <f t="shared" si="45"/>
        <v>0</v>
      </c>
      <c r="P433" s="433" t="s">
        <v>1488</v>
      </c>
      <c r="Q433" s="433">
        <v>2019</v>
      </c>
    </row>
    <row r="434" spans="1:17" ht="30">
      <c r="A434" s="258">
        <v>426</v>
      </c>
      <c r="B434" s="252" t="s">
        <v>1875</v>
      </c>
      <c r="C434" s="248" t="s">
        <v>1876</v>
      </c>
      <c r="D434" s="339">
        <v>1.4</v>
      </c>
      <c r="E434" s="340"/>
      <c r="F434" s="245"/>
      <c r="G434" s="246"/>
      <c r="H434" s="340">
        <v>0</v>
      </c>
      <c r="I434" s="245">
        <f t="shared" si="46"/>
        <v>0</v>
      </c>
      <c r="J434" s="247">
        <v>0</v>
      </c>
      <c r="K434" s="245">
        <f t="shared" si="43"/>
        <v>0</v>
      </c>
      <c r="L434" s="262">
        <f t="shared" si="42"/>
        <v>0</v>
      </c>
      <c r="M434" s="245">
        <f t="shared" si="44"/>
        <v>0</v>
      </c>
      <c r="N434" s="247">
        <v>0</v>
      </c>
      <c r="O434" s="245">
        <f t="shared" si="45"/>
        <v>0</v>
      </c>
      <c r="P434" s="433" t="s">
        <v>1488</v>
      </c>
      <c r="Q434" s="433">
        <v>2019</v>
      </c>
    </row>
    <row r="435" spans="1:17" ht="45">
      <c r="A435" s="258">
        <v>427</v>
      </c>
      <c r="B435" s="252" t="s">
        <v>1877</v>
      </c>
      <c r="C435" s="248" t="s">
        <v>1878</v>
      </c>
      <c r="D435" s="339">
        <v>2.8250000000000002</v>
      </c>
      <c r="E435" s="340"/>
      <c r="F435" s="245"/>
      <c r="G435" s="246"/>
      <c r="H435" s="340">
        <v>0</v>
      </c>
      <c r="I435" s="245">
        <f t="shared" si="46"/>
        <v>0</v>
      </c>
      <c r="J435" s="247">
        <v>0</v>
      </c>
      <c r="K435" s="245">
        <f t="shared" si="43"/>
        <v>0</v>
      </c>
      <c r="L435" s="262">
        <f t="shared" si="42"/>
        <v>0</v>
      </c>
      <c r="M435" s="245">
        <f t="shared" si="44"/>
        <v>0</v>
      </c>
      <c r="N435" s="247">
        <v>0</v>
      </c>
      <c r="O435" s="245">
        <f t="shared" si="45"/>
        <v>0</v>
      </c>
      <c r="P435" s="433" t="s">
        <v>1488</v>
      </c>
      <c r="Q435" s="433">
        <v>2019</v>
      </c>
    </row>
    <row r="436" spans="1:17" ht="45">
      <c r="A436" s="258">
        <v>428</v>
      </c>
      <c r="B436" s="252" t="s">
        <v>1879</v>
      </c>
      <c r="C436" s="248" t="s">
        <v>1880</v>
      </c>
      <c r="D436" s="339">
        <v>32.65</v>
      </c>
      <c r="E436" s="340"/>
      <c r="F436" s="245"/>
      <c r="G436" s="246"/>
      <c r="H436" s="340"/>
      <c r="I436" s="245"/>
      <c r="J436" s="247">
        <v>0</v>
      </c>
      <c r="K436" s="245">
        <f t="shared" si="43"/>
        <v>0</v>
      </c>
      <c r="L436" s="262">
        <f t="shared" si="42"/>
        <v>0</v>
      </c>
      <c r="M436" s="245">
        <f t="shared" si="44"/>
        <v>0</v>
      </c>
      <c r="N436" s="247">
        <v>0</v>
      </c>
      <c r="O436" s="245">
        <f t="shared" si="45"/>
        <v>0</v>
      </c>
      <c r="P436" s="433" t="s">
        <v>1488</v>
      </c>
      <c r="Q436" s="433">
        <v>2019</v>
      </c>
    </row>
    <row r="437" spans="1:17">
      <c r="A437" s="258">
        <v>429</v>
      </c>
      <c r="B437" s="252" t="s">
        <v>964</v>
      </c>
      <c r="C437" s="248" t="s">
        <v>965</v>
      </c>
      <c r="D437" s="339">
        <v>35.6</v>
      </c>
      <c r="E437" s="340"/>
      <c r="F437" s="245"/>
      <c r="G437" s="246"/>
      <c r="H437" s="340">
        <v>0</v>
      </c>
      <c r="I437" s="245">
        <f t="shared" si="46"/>
        <v>0</v>
      </c>
      <c r="J437" s="247">
        <v>0</v>
      </c>
      <c r="K437" s="245">
        <f t="shared" si="43"/>
        <v>0</v>
      </c>
      <c r="L437" s="262">
        <f t="shared" si="42"/>
        <v>0</v>
      </c>
      <c r="M437" s="245">
        <f t="shared" si="44"/>
        <v>0</v>
      </c>
      <c r="N437" s="247">
        <v>0</v>
      </c>
      <c r="O437" s="245">
        <f t="shared" si="45"/>
        <v>0</v>
      </c>
      <c r="P437" s="433" t="s">
        <v>1488</v>
      </c>
      <c r="Q437" s="433">
        <v>2019</v>
      </c>
    </row>
    <row r="438" spans="1:17" ht="30">
      <c r="A438" s="258">
        <v>430</v>
      </c>
      <c r="B438" s="252" t="s">
        <v>967</v>
      </c>
      <c r="C438" s="248" t="s">
        <v>968</v>
      </c>
      <c r="D438" s="339">
        <v>9.57</v>
      </c>
      <c r="E438" s="340"/>
      <c r="F438" s="245"/>
      <c r="G438" s="246"/>
      <c r="H438" s="340">
        <v>0</v>
      </c>
      <c r="I438" s="245">
        <f t="shared" si="46"/>
        <v>0</v>
      </c>
      <c r="J438" s="247">
        <v>0</v>
      </c>
      <c r="K438" s="245">
        <f t="shared" si="43"/>
        <v>0</v>
      </c>
      <c r="L438" s="262">
        <f t="shared" si="42"/>
        <v>0</v>
      </c>
      <c r="M438" s="245">
        <f t="shared" si="44"/>
        <v>0</v>
      </c>
      <c r="N438" s="247">
        <v>0</v>
      </c>
      <c r="O438" s="245">
        <f t="shared" si="45"/>
        <v>0</v>
      </c>
      <c r="P438" s="433" t="s">
        <v>1488</v>
      </c>
      <c r="Q438" s="433">
        <v>2019</v>
      </c>
    </row>
    <row r="439" spans="1:17" ht="45">
      <c r="A439" s="258">
        <v>431</v>
      </c>
      <c r="B439" s="252" t="s">
        <v>970</v>
      </c>
      <c r="C439" s="248" t="s">
        <v>971</v>
      </c>
      <c r="D439" s="339">
        <v>11.65</v>
      </c>
      <c r="E439" s="340"/>
      <c r="F439" s="245"/>
      <c r="G439" s="246"/>
      <c r="H439" s="340"/>
      <c r="I439" s="245"/>
      <c r="J439" s="247">
        <v>0</v>
      </c>
      <c r="K439" s="245">
        <f t="shared" si="43"/>
        <v>0</v>
      </c>
      <c r="L439" s="262">
        <f t="shared" si="42"/>
        <v>0</v>
      </c>
      <c r="M439" s="245">
        <f t="shared" si="44"/>
        <v>0</v>
      </c>
      <c r="N439" s="247">
        <v>0</v>
      </c>
      <c r="O439" s="245">
        <f t="shared" si="45"/>
        <v>0</v>
      </c>
      <c r="P439" s="433" t="s">
        <v>1488</v>
      </c>
      <c r="Q439" s="433">
        <v>2019</v>
      </c>
    </row>
    <row r="440" spans="1:17" ht="45">
      <c r="A440" s="258">
        <v>432</v>
      </c>
      <c r="B440" s="252" t="s">
        <v>973</v>
      </c>
      <c r="C440" s="248" t="s">
        <v>974</v>
      </c>
      <c r="D440" s="339">
        <v>1.2809999999999999</v>
      </c>
      <c r="E440" s="340"/>
      <c r="F440" s="245"/>
      <c r="G440" s="246"/>
      <c r="H440" s="340">
        <v>0</v>
      </c>
      <c r="I440" s="245">
        <f t="shared" si="46"/>
        <v>0</v>
      </c>
      <c r="J440" s="247">
        <v>0</v>
      </c>
      <c r="K440" s="245">
        <f t="shared" si="43"/>
        <v>0</v>
      </c>
      <c r="L440" s="262">
        <f t="shared" si="42"/>
        <v>0</v>
      </c>
      <c r="M440" s="245">
        <f t="shared" si="44"/>
        <v>0</v>
      </c>
      <c r="N440" s="247">
        <v>0</v>
      </c>
      <c r="O440" s="245">
        <f t="shared" si="45"/>
        <v>0</v>
      </c>
      <c r="P440" s="433" t="s">
        <v>1488</v>
      </c>
      <c r="Q440" s="433">
        <v>2019</v>
      </c>
    </row>
    <row r="441" spans="1:17" ht="30">
      <c r="A441" s="258">
        <v>433</v>
      </c>
      <c r="B441" s="252" t="s">
        <v>976</v>
      </c>
      <c r="C441" s="248" t="s">
        <v>977</v>
      </c>
      <c r="D441" s="339">
        <v>9.19</v>
      </c>
      <c r="E441" s="340"/>
      <c r="F441" s="245"/>
      <c r="G441" s="246"/>
      <c r="H441" s="340"/>
      <c r="I441" s="245"/>
      <c r="J441" s="247">
        <v>0</v>
      </c>
      <c r="K441" s="245">
        <f t="shared" si="43"/>
        <v>0</v>
      </c>
      <c r="L441" s="262">
        <f t="shared" si="42"/>
        <v>0</v>
      </c>
      <c r="M441" s="245">
        <f t="shared" si="44"/>
        <v>0</v>
      </c>
      <c r="N441" s="247">
        <v>0</v>
      </c>
      <c r="O441" s="245">
        <f t="shared" si="45"/>
        <v>0</v>
      </c>
      <c r="P441" s="433" t="s">
        <v>1488</v>
      </c>
      <c r="Q441" s="433">
        <v>2019</v>
      </c>
    </row>
    <row r="442" spans="1:17">
      <c r="A442" s="258">
        <v>434</v>
      </c>
      <c r="B442" s="252" t="s">
        <v>1881</v>
      </c>
      <c r="C442" s="248" t="s">
        <v>1882</v>
      </c>
      <c r="D442" s="339">
        <v>1.4</v>
      </c>
      <c r="E442" s="340"/>
      <c r="F442" s="245"/>
      <c r="G442" s="246"/>
      <c r="H442" s="340">
        <v>0</v>
      </c>
      <c r="I442" s="245">
        <f t="shared" si="46"/>
        <v>0</v>
      </c>
      <c r="J442" s="247">
        <v>0</v>
      </c>
      <c r="K442" s="245">
        <f t="shared" si="43"/>
        <v>0</v>
      </c>
      <c r="L442" s="262">
        <f t="shared" si="42"/>
        <v>0</v>
      </c>
      <c r="M442" s="245">
        <f t="shared" si="44"/>
        <v>0</v>
      </c>
      <c r="N442" s="247">
        <v>0</v>
      </c>
      <c r="O442" s="245">
        <f t="shared" si="45"/>
        <v>0</v>
      </c>
      <c r="P442" s="433" t="s">
        <v>1488</v>
      </c>
      <c r="Q442" s="433">
        <v>2019</v>
      </c>
    </row>
    <row r="443" spans="1:17" ht="30">
      <c r="A443" s="258">
        <v>435</v>
      </c>
      <c r="B443" s="252" t="s">
        <v>1883</v>
      </c>
      <c r="C443" s="248" t="s">
        <v>1884</v>
      </c>
      <c r="D443" s="339">
        <v>20.399999999999999</v>
      </c>
      <c r="E443" s="340"/>
      <c r="F443" s="245"/>
      <c r="G443" s="246"/>
      <c r="H443" s="340">
        <v>0</v>
      </c>
      <c r="I443" s="245">
        <f t="shared" si="46"/>
        <v>0</v>
      </c>
      <c r="J443" s="247">
        <v>0</v>
      </c>
      <c r="K443" s="245">
        <f t="shared" si="43"/>
        <v>0</v>
      </c>
      <c r="L443" s="262">
        <f t="shared" si="42"/>
        <v>0</v>
      </c>
      <c r="M443" s="245">
        <f t="shared" si="44"/>
        <v>0</v>
      </c>
      <c r="N443" s="247">
        <v>0</v>
      </c>
      <c r="O443" s="245">
        <f t="shared" ref="O443:O474" si="47">N443/D443</f>
        <v>0</v>
      </c>
      <c r="P443" s="433" t="s">
        <v>1488</v>
      </c>
      <c r="Q443" s="433">
        <v>2019</v>
      </c>
    </row>
    <row r="444" spans="1:17">
      <c r="A444" s="258">
        <v>436</v>
      </c>
      <c r="B444" s="252" t="s">
        <v>1885</v>
      </c>
      <c r="C444" s="248" t="s">
        <v>1886</v>
      </c>
      <c r="D444" s="339">
        <v>21.6</v>
      </c>
      <c r="E444" s="340"/>
      <c r="F444" s="245"/>
      <c r="G444" s="246"/>
      <c r="H444" s="340">
        <v>0</v>
      </c>
      <c r="I444" s="245">
        <f t="shared" si="46"/>
        <v>0</v>
      </c>
      <c r="J444" s="247">
        <v>0</v>
      </c>
      <c r="K444" s="245">
        <f t="shared" si="43"/>
        <v>0</v>
      </c>
      <c r="L444" s="262">
        <f t="shared" si="42"/>
        <v>0</v>
      </c>
      <c r="M444" s="245">
        <f t="shared" si="44"/>
        <v>0</v>
      </c>
      <c r="N444" s="247">
        <v>0</v>
      </c>
      <c r="O444" s="245">
        <f t="shared" si="47"/>
        <v>0</v>
      </c>
      <c r="P444" s="433" t="s">
        <v>1488</v>
      </c>
      <c r="Q444" s="433">
        <v>2019</v>
      </c>
    </row>
    <row r="445" spans="1:17" ht="30">
      <c r="A445" s="258">
        <v>437</v>
      </c>
      <c r="B445" s="252" t="s">
        <v>1887</v>
      </c>
      <c r="C445" s="248" t="s">
        <v>1888</v>
      </c>
      <c r="D445" s="339">
        <v>3.738</v>
      </c>
      <c r="E445" s="340"/>
      <c r="F445" s="245"/>
      <c r="G445" s="246"/>
      <c r="H445" s="340">
        <v>0</v>
      </c>
      <c r="I445" s="245">
        <f t="shared" si="46"/>
        <v>0</v>
      </c>
      <c r="J445" s="247">
        <v>0</v>
      </c>
      <c r="K445" s="245">
        <f t="shared" si="43"/>
        <v>0</v>
      </c>
      <c r="L445" s="262">
        <f t="shared" si="42"/>
        <v>0</v>
      </c>
      <c r="M445" s="245">
        <f t="shared" si="44"/>
        <v>0</v>
      </c>
      <c r="N445" s="247">
        <v>0</v>
      </c>
      <c r="O445" s="245">
        <f t="shared" si="47"/>
        <v>0</v>
      </c>
      <c r="P445" s="433" t="s">
        <v>1488</v>
      </c>
      <c r="Q445" s="433">
        <v>2019</v>
      </c>
    </row>
    <row r="446" spans="1:17" ht="30">
      <c r="A446" s="258">
        <v>438</v>
      </c>
      <c r="B446" s="252" t="s">
        <v>1889</v>
      </c>
      <c r="C446" s="248" t="s">
        <v>1890</v>
      </c>
      <c r="D446" s="339">
        <v>8.84</v>
      </c>
      <c r="E446" s="340"/>
      <c r="F446" s="245"/>
      <c r="G446" s="246"/>
      <c r="H446" s="340">
        <v>0</v>
      </c>
      <c r="I446" s="245">
        <f t="shared" si="46"/>
        <v>0</v>
      </c>
      <c r="J446" s="247">
        <v>0</v>
      </c>
      <c r="K446" s="245">
        <f t="shared" si="43"/>
        <v>0</v>
      </c>
      <c r="L446" s="262">
        <f t="shared" ref="L446:L509" si="48">J446</f>
        <v>0</v>
      </c>
      <c r="M446" s="245">
        <f t="shared" si="44"/>
        <v>0</v>
      </c>
      <c r="N446" s="247">
        <v>0</v>
      </c>
      <c r="O446" s="245">
        <f t="shared" si="47"/>
        <v>0</v>
      </c>
      <c r="P446" s="433" t="s">
        <v>1488</v>
      </c>
      <c r="Q446" s="433">
        <v>2019</v>
      </c>
    </row>
    <row r="447" spans="1:17" ht="30">
      <c r="A447" s="258">
        <v>439</v>
      </c>
      <c r="B447" s="252" t="s">
        <v>1891</v>
      </c>
      <c r="C447" s="248" t="s">
        <v>1892</v>
      </c>
      <c r="D447" s="339">
        <v>0.48499999999999999</v>
      </c>
      <c r="E447" s="340"/>
      <c r="F447" s="245"/>
      <c r="G447" s="246"/>
      <c r="H447" s="340">
        <v>0</v>
      </c>
      <c r="I447" s="245">
        <f t="shared" si="46"/>
        <v>0</v>
      </c>
      <c r="J447" s="247">
        <v>0</v>
      </c>
      <c r="K447" s="245">
        <f t="shared" si="43"/>
        <v>0</v>
      </c>
      <c r="L447" s="262">
        <f t="shared" si="48"/>
        <v>0</v>
      </c>
      <c r="M447" s="245">
        <f t="shared" si="44"/>
        <v>0</v>
      </c>
      <c r="N447" s="247">
        <v>0</v>
      </c>
      <c r="O447" s="245">
        <f t="shared" si="47"/>
        <v>0</v>
      </c>
      <c r="P447" s="433" t="s">
        <v>1488</v>
      </c>
      <c r="Q447" s="433">
        <v>2019</v>
      </c>
    </row>
    <row r="448" spans="1:17" ht="30">
      <c r="A448" s="258">
        <v>440</v>
      </c>
      <c r="B448" s="252" t="s">
        <v>1893</v>
      </c>
      <c r="C448" s="248" t="s">
        <v>1894</v>
      </c>
      <c r="D448" s="339">
        <v>2.2000000000000002</v>
      </c>
      <c r="E448" s="340"/>
      <c r="F448" s="245"/>
      <c r="G448" s="246"/>
      <c r="H448" s="340"/>
      <c r="I448" s="245"/>
      <c r="J448" s="247">
        <v>0</v>
      </c>
      <c r="K448" s="245">
        <f t="shared" si="43"/>
        <v>0</v>
      </c>
      <c r="L448" s="262">
        <f t="shared" si="48"/>
        <v>0</v>
      </c>
      <c r="M448" s="245">
        <f t="shared" si="44"/>
        <v>0</v>
      </c>
      <c r="N448" s="247">
        <v>0</v>
      </c>
      <c r="O448" s="245">
        <f t="shared" si="47"/>
        <v>0</v>
      </c>
      <c r="P448" s="433" t="s">
        <v>1488</v>
      </c>
      <c r="Q448" s="433">
        <v>2019</v>
      </c>
    </row>
    <row r="449" spans="1:17" ht="30">
      <c r="A449" s="258">
        <v>441</v>
      </c>
      <c r="B449" s="252" t="s">
        <v>1895</v>
      </c>
      <c r="C449" s="248" t="s">
        <v>1896</v>
      </c>
      <c r="D449" s="339">
        <v>0.36499999999999999</v>
      </c>
      <c r="E449" s="340"/>
      <c r="F449" s="245"/>
      <c r="G449" s="246"/>
      <c r="H449" s="340"/>
      <c r="I449" s="245"/>
      <c r="J449" s="247">
        <v>0</v>
      </c>
      <c r="K449" s="245">
        <f t="shared" si="43"/>
        <v>0</v>
      </c>
      <c r="L449" s="262">
        <f t="shared" si="48"/>
        <v>0</v>
      </c>
      <c r="M449" s="245">
        <f t="shared" si="44"/>
        <v>0</v>
      </c>
      <c r="N449" s="247">
        <v>0</v>
      </c>
      <c r="O449" s="245">
        <f t="shared" si="47"/>
        <v>0</v>
      </c>
      <c r="P449" s="433" t="s">
        <v>1488</v>
      </c>
      <c r="Q449" s="433">
        <v>2019</v>
      </c>
    </row>
    <row r="450" spans="1:17" ht="30">
      <c r="A450" s="258">
        <v>442</v>
      </c>
      <c r="B450" s="252" t="s">
        <v>1897</v>
      </c>
      <c r="C450" s="248" t="s">
        <v>1898</v>
      </c>
      <c r="D450" s="339">
        <v>7.9550000000000001</v>
      </c>
      <c r="E450" s="340"/>
      <c r="F450" s="245"/>
      <c r="G450" s="246"/>
      <c r="H450" s="340">
        <v>0</v>
      </c>
      <c r="I450" s="245">
        <f t="shared" si="46"/>
        <v>0</v>
      </c>
      <c r="J450" s="247">
        <v>0</v>
      </c>
      <c r="K450" s="245">
        <f t="shared" si="43"/>
        <v>0</v>
      </c>
      <c r="L450" s="262">
        <f t="shared" si="48"/>
        <v>0</v>
      </c>
      <c r="M450" s="245">
        <f t="shared" si="44"/>
        <v>0</v>
      </c>
      <c r="N450" s="247">
        <v>0</v>
      </c>
      <c r="O450" s="245">
        <f t="shared" si="47"/>
        <v>0</v>
      </c>
      <c r="P450" s="433" t="s">
        <v>1488</v>
      </c>
      <c r="Q450" s="433">
        <v>2019</v>
      </c>
    </row>
    <row r="451" spans="1:17" ht="30">
      <c r="A451" s="258">
        <v>443</v>
      </c>
      <c r="B451" s="252" t="s">
        <v>1899</v>
      </c>
      <c r="C451" s="248" t="s">
        <v>1900</v>
      </c>
      <c r="D451" s="339">
        <v>7.13</v>
      </c>
      <c r="E451" s="340"/>
      <c r="F451" s="245"/>
      <c r="G451" s="246"/>
      <c r="H451" s="340"/>
      <c r="I451" s="245"/>
      <c r="J451" s="247">
        <v>0</v>
      </c>
      <c r="K451" s="245">
        <f t="shared" si="43"/>
        <v>0</v>
      </c>
      <c r="L451" s="262">
        <f t="shared" si="48"/>
        <v>0</v>
      </c>
      <c r="M451" s="245">
        <f t="shared" si="44"/>
        <v>0</v>
      </c>
      <c r="N451" s="247">
        <v>0</v>
      </c>
      <c r="O451" s="245">
        <f t="shared" si="47"/>
        <v>0</v>
      </c>
      <c r="P451" s="433" t="s">
        <v>1488</v>
      </c>
      <c r="Q451" s="433">
        <v>2019</v>
      </c>
    </row>
    <row r="452" spans="1:17" ht="30">
      <c r="A452" s="258">
        <v>444</v>
      </c>
      <c r="B452" s="252" t="s">
        <v>1901</v>
      </c>
      <c r="C452" s="248" t="s">
        <v>1902</v>
      </c>
      <c r="D452" s="446">
        <v>2.0699999999999998</v>
      </c>
      <c r="E452" s="445"/>
      <c r="F452" s="249"/>
      <c r="G452" s="250"/>
      <c r="H452" s="445"/>
      <c r="I452" s="249"/>
      <c r="J452" s="247">
        <v>0</v>
      </c>
      <c r="K452" s="249">
        <f t="shared" si="43"/>
        <v>0</v>
      </c>
      <c r="L452" s="262">
        <f t="shared" si="48"/>
        <v>0</v>
      </c>
      <c r="M452" s="245">
        <f t="shared" si="44"/>
        <v>0</v>
      </c>
      <c r="N452" s="247">
        <v>0</v>
      </c>
      <c r="O452" s="249">
        <f t="shared" si="47"/>
        <v>0</v>
      </c>
      <c r="P452" s="433" t="s">
        <v>1488</v>
      </c>
      <c r="Q452" s="433">
        <v>2019</v>
      </c>
    </row>
    <row r="453" spans="1:17" ht="30">
      <c r="A453" s="258">
        <v>445</v>
      </c>
      <c r="B453" s="252" t="s">
        <v>1903</v>
      </c>
      <c r="C453" s="248" t="s">
        <v>1904</v>
      </c>
      <c r="D453" s="339">
        <v>4.47</v>
      </c>
      <c r="E453" s="340"/>
      <c r="F453" s="245"/>
      <c r="G453" s="246"/>
      <c r="H453" s="340">
        <v>4.47</v>
      </c>
      <c r="I453" s="245">
        <f t="shared" si="46"/>
        <v>1</v>
      </c>
      <c r="J453" s="247">
        <v>0</v>
      </c>
      <c r="K453" s="245">
        <f t="shared" si="43"/>
        <v>0</v>
      </c>
      <c r="L453" s="262">
        <f t="shared" si="48"/>
        <v>0</v>
      </c>
      <c r="M453" s="245">
        <f t="shared" si="44"/>
        <v>0</v>
      </c>
      <c r="N453" s="247">
        <v>0</v>
      </c>
      <c r="O453" s="245">
        <f t="shared" si="47"/>
        <v>0</v>
      </c>
      <c r="P453" s="433" t="s">
        <v>1488</v>
      </c>
      <c r="Q453" s="433">
        <v>2019</v>
      </c>
    </row>
    <row r="454" spans="1:17" ht="30">
      <c r="A454" s="258">
        <v>446</v>
      </c>
      <c r="B454" s="252" t="s">
        <v>1905</v>
      </c>
      <c r="C454" s="248" t="s">
        <v>1906</v>
      </c>
      <c r="D454" s="339">
        <v>0.08</v>
      </c>
      <c r="E454" s="340"/>
      <c r="F454" s="245"/>
      <c r="G454" s="246"/>
      <c r="H454" s="340">
        <v>0</v>
      </c>
      <c r="I454" s="245">
        <f t="shared" si="46"/>
        <v>0</v>
      </c>
      <c r="J454" s="247">
        <v>0</v>
      </c>
      <c r="K454" s="245">
        <f t="shared" si="43"/>
        <v>0</v>
      </c>
      <c r="L454" s="262">
        <f t="shared" si="48"/>
        <v>0</v>
      </c>
      <c r="M454" s="245">
        <f t="shared" si="44"/>
        <v>0</v>
      </c>
      <c r="N454" s="247">
        <v>0</v>
      </c>
      <c r="O454" s="245">
        <f t="shared" si="47"/>
        <v>0</v>
      </c>
      <c r="P454" s="433" t="s">
        <v>1488</v>
      </c>
      <c r="Q454" s="433">
        <v>2019</v>
      </c>
    </row>
    <row r="455" spans="1:17">
      <c r="A455" s="258">
        <v>447</v>
      </c>
      <c r="B455" s="252" t="s">
        <v>1907</v>
      </c>
      <c r="C455" s="248" t="s">
        <v>1908</v>
      </c>
      <c r="D455" s="339">
        <v>1.3120000000000001</v>
      </c>
      <c r="E455" s="340"/>
      <c r="F455" s="245"/>
      <c r="G455" s="246"/>
      <c r="H455" s="340"/>
      <c r="I455" s="245"/>
      <c r="J455" s="247">
        <v>0</v>
      </c>
      <c r="K455" s="245">
        <f t="shared" si="43"/>
        <v>0</v>
      </c>
      <c r="L455" s="262">
        <f t="shared" si="48"/>
        <v>0</v>
      </c>
      <c r="M455" s="245">
        <f t="shared" si="44"/>
        <v>0</v>
      </c>
      <c r="N455" s="247">
        <v>0</v>
      </c>
      <c r="O455" s="245">
        <f t="shared" si="47"/>
        <v>0</v>
      </c>
      <c r="P455" s="433" t="s">
        <v>1488</v>
      </c>
      <c r="Q455" s="433">
        <v>2019</v>
      </c>
    </row>
    <row r="456" spans="1:17" ht="30">
      <c r="A456" s="258">
        <v>448</v>
      </c>
      <c r="B456" s="252" t="s">
        <v>1909</v>
      </c>
      <c r="C456" s="248" t="s">
        <v>1910</v>
      </c>
      <c r="D456" s="339">
        <v>21.776</v>
      </c>
      <c r="E456" s="340"/>
      <c r="F456" s="245"/>
      <c r="G456" s="246"/>
      <c r="H456" s="340">
        <v>0</v>
      </c>
      <c r="I456" s="245">
        <f t="shared" si="46"/>
        <v>0</v>
      </c>
      <c r="J456" s="247">
        <v>0</v>
      </c>
      <c r="K456" s="245">
        <f t="shared" si="43"/>
        <v>0</v>
      </c>
      <c r="L456" s="262">
        <f t="shared" si="48"/>
        <v>0</v>
      </c>
      <c r="M456" s="245">
        <f t="shared" si="44"/>
        <v>0</v>
      </c>
      <c r="N456" s="247">
        <v>0</v>
      </c>
      <c r="O456" s="245">
        <f t="shared" si="47"/>
        <v>0</v>
      </c>
      <c r="P456" s="433" t="s">
        <v>1488</v>
      </c>
      <c r="Q456" s="433">
        <v>2019</v>
      </c>
    </row>
    <row r="457" spans="1:17" ht="30">
      <c r="A457" s="258">
        <v>449</v>
      </c>
      <c r="B457" s="252" t="s">
        <v>1911</v>
      </c>
      <c r="C457" s="248" t="s">
        <v>1912</v>
      </c>
      <c r="D457" s="339">
        <v>6.4569999999999999</v>
      </c>
      <c r="E457" s="340"/>
      <c r="F457" s="245"/>
      <c r="G457" s="246"/>
      <c r="H457" s="340">
        <v>0</v>
      </c>
      <c r="I457" s="245">
        <f t="shared" si="46"/>
        <v>0</v>
      </c>
      <c r="J457" s="247">
        <v>0</v>
      </c>
      <c r="K457" s="245">
        <f t="shared" ref="K457:K518" si="49">J457/D457</f>
        <v>0</v>
      </c>
      <c r="L457" s="262">
        <f t="shared" si="48"/>
        <v>0</v>
      </c>
      <c r="M457" s="245">
        <f t="shared" si="44"/>
        <v>0</v>
      </c>
      <c r="N457" s="247">
        <v>0</v>
      </c>
      <c r="O457" s="245">
        <f t="shared" si="47"/>
        <v>0</v>
      </c>
      <c r="P457" s="433" t="s">
        <v>1488</v>
      </c>
      <c r="Q457" s="433">
        <v>2019</v>
      </c>
    </row>
    <row r="458" spans="1:17" ht="30">
      <c r="A458" s="258">
        <v>450</v>
      </c>
      <c r="B458" s="252" t="s">
        <v>1911</v>
      </c>
      <c r="C458" s="248" t="s">
        <v>1913</v>
      </c>
      <c r="D458" s="339">
        <v>8.3849999999999998</v>
      </c>
      <c r="E458" s="340"/>
      <c r="F458" s="245"/>
      <c r="G458" s="246"/>
      <c r="H458" s="340">
        <v>0</v>
      </c>
      <c r="I458" s="245">
        <f t="shared" si="46"/>
        <v>0</v>
      </c>
      <c r="J458" s="247">
        <v>0</v>
      </c>
      <c r="K458" s="245">
        <f t="shared" si="49"/>
        <v>0</v>
      </c>
      <c r="L458" s="262">
        <f t="shared" si="48"/>
        <v>0</v>
      </c>
      <c r="M458" s="245">
        <f t="shared" si="44"/>
        <v>0</v>
      </c>
      <c r="N458" s="247">
        <v>0</v>
      </c>
      <c r="O458" s="245">
        <f t="shared" si="47"/>
        <v>0</v>
      </c>
      <c r="P458" s="433" t="s">
        <v>1488</v>
      </c>
      <c r="Q458" s="433">
        <v>2019</v>
      </c>
    </row>
    <row r="459" spans="1:17" ht="60">
      <c r="A459" s="258">
        <v>451</v>
      </c>
      <c r="B459" s="252" t="s">
        <v>1914</v>
      </c>
      <c r="C459" s="248" t="s">
        <v>1915</v>
      </c>
      <c r="D459" s="339">
        <v>3</v>
      </c>
      <c r="E459" s="340"/>
      <c r="F459" s="245"/>
      <c r="G459" s="246"/>
      <c r="H459" s="340">
        <v>0</v>
      </c>
      <c r="I459" s="245">
        <f t="shared" si="46"/>
        <v>0</v>
      </c>
      <c r="J459" s="247">
        <v>0</v>
      </c>
      <c r="K459" s="245">
        <f t="shared" si="49"/>
        <v>0</v>
      </c>
      <c r="L459" s="262">
        <f t="shared" si="48"/>
        <v>0</v>
      </c>
      <c r="M459" s="245">
        <f t="shared" si="44"/>
        <v>0</v>
      </c>
      <c r="N459" s="247">
        <v>0</v>
      </c>
      <c r="O459" s="245">
        <f t="shared" si="47"/>
        <v>0</v>
      </c>
      <c r="P459" s="433" t="s">
        <v>1488</v>
      </c>
      <c r="Q459" s="433">
        <v>2019</v>
      </c>
    </row>
    <row r="460" spans="1:17" ht="30">
      <c r="A460" s="258">
        <v>452</v>
      </c>
      <c r="B460" s="252" t="s">
        <v>1916</v>
      </c>
      <c r="C460" s="248" t="s">
        <v>1917</v>
      </c>
      <c r="D460" s="339">
        <v>2.302</v>
      </c>
      <c r="E460" s="340"/>
      <c r="F460" s="245"/>
      <c r="G460" s="246"/>
      <c r="H460" s="340">
        <v>0</v>
      </c>
      <c r="I460" s="245">
        <f t="shared" si="46"/>
        <v>0</v>
      </c>
      <c r="J460" s="247">
        <v>0</v>
      </c>
      <c r="K460" s="245">
        <f t="shared" si="49"/>
        <v>0</v>
      </c>
      <c r="L460" s="262">
        <f t="shared" si="48"/>
        <v>0</v>
      </c>
      <c r="M460" s="245">
        <f t="shared" si="44"/>
        <v>0</v>
      </c>
      <c r="N460" s="247">
        <v>0</v>
      </c>
      <c r="O460" s="245">
        <f t="shared" si="47"/>
        <v>0</v>
      </c>
      <c r="P460" s="433" t="s">
        <v>1488</v>
      </c>
      <c r="Q460" s="433">
        <v>2019</v>
      </c>
    </row>
    <row r="461" spans="1:17" ht="30">
      <c r="A461" s="258">
        <v>453</v>
      </c>
      <c r="B461" s="252" t="s">
        <v>1918</v>
      </c>
      <c r="C461" s="248" t="s">
        <v>1919</v>
      </c>
      <c r="D461" s="339">
        <v>16.207000000000001</v>
      </c>
      <c r="E461" s="340"/>
      <c r="F461" s="245"/>
      <c r="G461" s="246"/>
      <c r="H461" s="340">
        <v>0</v>
      </c>
      <c r="I461" s="245">
        <f t="shared" si="46"/>
        <v>0</v>
      </c>
      <c r="J461" s="247">
        <v>0</v>
      </c>
      <c r="K461" s="245">
        <f t="shared" si="49"/>
        <v>0</v>
      </c>
      <c r="L461" s="262">
        <f t="shared" si="48"/>
        <v>0</v>
      </c>
      <c r="M461" s="245">
        <f t="shared" si="44"/>
        <v>0</v>
      </c>
      <c r="N461" s="247">
        <v>0</v>
      </c>
      <c r="O461" s="245">
        <f t="shared" si="47"/>
        <v>0</v>
      </c>
      <c r="P461" s="433" t="s">
        <v>1488</v>
      </c>
      <c r="Q461" s="433">
        <v>2019</v>
      </c>
    </row>
    <row r="462" spans="1:17" ht="60">
      <c r="A462" s="258">
        <v>454</v>
      </c>
      <c r="B462" s="252" t="s">
        <v>1920</v>
      </c>
      <c r="C462" s="248" t="s">
        <v>1921</v>
      </c>
      <c r="D462" s="339">
        <v>3.78</v>
      </c>
      <c r="E462" s="340"/>
      <c r="F462" s="245"/>
      <c r="G462" s="246"/>
      <c r="H462" s="340">
        <v>0</v>
      </c>
      <c r="I462" s="245">
        <f t="shared" si="46"/>
        <v>0</v>
      </c>
      <c r="J462" s="247">
        <v>0</v>
      </c>
      <c r="K462" s="245">
        <f t="shared" si="49"/>
        <v>0</v>
      </c>
      <c r="L462" s="262">
        <f t="shared" si="48"/>
        <v>0</v>
      </c>
      <c r="M462" s="245">
        <f t="shared" si="44"/>
        <v>0</v>
      </c>
      <c r="N462" s="247">
        <v>0</v>
      </c>
      <c r="O462" s="245">
        <f t="shared" si="47"/>
        <v>0</v>
      </c>
      <c r="P462" s="433" t="s">
        <v>1488</v>
      </c>
      <c r="Q462" s="433">
        <v>2019</v>
      </c>
    </row>
    <row r="463" spans="1:17" ht="60">
      <c r="A463" s="258">
        <v>455</v>
      </c>
      <c r="B463" s="252" t="s">
        <v>1920</v>
      </c>
      <c r="C463" s="248" t="s">
        <v>1921</v>
      </c>
      <c r="D463" s="339">
        <v>20.654</v>
      </c>
      <c r="E463" s="340"/>
      <c r="F463" s="245"/>
      <c r="G463" s="246"/>
      <c r="H463" s="340">
        <v>0</v>
      </c>
      <c r="I463" s="245">
        <f t="shared" si="46"/>
        <v>0</v>
      </c>
      <c r="J463" s="247">
        <v>0</v>
      </c>
      <c r="K463" s="245">
        <f t="shared" si="49"/>
        <v>0</v>
      </c>
      <c r="L463" s="262">
        <f t="shared" si="48"/>
        <v>0</v>
      </c>
      <c r="M463" s="245">
        <f t="shared" si="44"/>
        <v>0</v>
      </c>
      <c r="N463" s="247">
        <v>0</v>
      </c>
      <c r="O463" s="245">
        <f t="shared" si="47"/>
        <v>0</v>
      </c>
      <c r="P463" s="433" t="s">
        <v>1488</v>
      </c>
      <c r="Q463" s="433">
        <v>2019</v>
      </c>
    </row>
    <row r="464" spans="1:17" ht="30">
      <c r="A464" s="258">
        <v>456</v>
      </c>
      <c r="B464" s="252" t="s">
        <v>1922</v>
      </c>
      <c r="C464" s="248" t="s">
        <v>1923</v>
      </c>
      <c r="D464" s="339">
        <v>15.958</v>
      </c>
      <c r="E464" s="340"/>
      <c r="F464" s="245"/>
      <c r="G464" s="246"/>
      <c r="H464" s="340">
        <v>0</v>
      </c>
      <c r="I464" s="245">
        <f t="shared" si="46"/>
        <v>0</v>
      </c>
      <c r="J464" s="247">
        <v>0</v>
      </c>
      <c r="K464" s="245">
        <f t="shared" si="49"/>
        <v>0</v>
      </c>
      <c r="L464" s="262">
        <f t="shared" si="48"/>
        <v>0</v>
      </c>
      <c r="M464" s="245">
        <f t="shared" si="44"/>
        <v>0</v>
      </c>
      <c r="N464" s="247">
        <v>0</v>
      </c>
      <c r="O464" s="245">
        <f t="shared" si="47"/>
        <v>0</v>
      </c>
      <c r="P464" s="433" t="s">
        <v>1488</v>
      </c>
      <c r="Q464" s="433">
        <v>2019</v>
      </c>
    </row>
    <row r="465" spans="1:17" ht="30">
      <c r="A465" s="258">
        <v>457</v>
      </c>
      <c r="B465" s="252" t="s">
        <v>1924</v>
      </c>
      <c r="C465" s="248" t="s">
        <v>1925</v>
      </c>
      <c r="D465" s="339">
        <v>5.6840000000000002</v>
      </c>
      <c r="E465" s="340"/>
      <c r="F465" s="245"/>
      <c r="G465" s="246"/>
      <c r="H465" s="340">
        <v>0</v>
      </c>
      <c r="I465" s="245">
        <f t="shared" si="46"/>
        <v>0</v>
      </c>
      <c r="J465" s="247">
        <v>0</v>
      </c>
      <c r="K465" s="245">
        <f t="shared" si="49"/>
        <v>0</v>
      </c>
      <c r="L465" s="262">
        <f t="shared" si="48"/>
        <v>0</v>
      </c>
      <c r="M465" s="245">
        <f t="shared" si="44"/>
        <v>0</v>
      </c>
      <c r="N465" s="247">
        <v>0</v>
      </c>
      <c r="O465" s="245">
        <f t="shared" si="47"/>
        <v>0</v>
      </c>
      <c r="P465" s="433" t="s">
        <v>1488</v>
      </c>
      <c r="Q465" s="433">
        <v>2019</v>
      </c>
    </row>
    <row r="466" spans="1:17">
      <c r="A466" s="258">
        <v>458</v>
      </c>
      <c r="B466" s="252" t="s">
        <v>1926</v>
      </c>
      <c r="C466" s="248" t="s">
        <v>1927</v>
      </c>
      <c r="D466" s="339">
        <v>5.1769999999999996</v>
      </c>
      <c r="E466" s="340"/>
      <c r="F466" s="245"/>
      <c r="G466" s="246"/>
      <c r="H466" s="340">
        <v>0</v>
      </c>
      <c r="I466" s="245">
        <f t="shared" si="46"/>
        <v>0</v>
      </c>
      <c r="J466" s="247">
        <v>0</v>
      </c>
      <c r="K466" s="245">
        <f t="shared" si="49"/>
        <v>0</v>
      </c>
      <c r="L466" s="262">
        <f t="shared" si="48"/>
        <v>0</v>
      </c>
      <c r="M466" s="245">
        <f t="shared" si="44"/>
        <v>0</v>
      </c>
      <c r="N466" s="247">
        <v>0</v>
      </c>
      <c r="O466" s="245">
        <f t="shared" si="47"/>
        <v>0</v>
      </c>
      <c r="P466" s="433" t="s">
        <v>1488</v>
      </c>
      <c r="Q466" s="433">
        <v>2019</v>
      </c>
    </row>
    <row r="467" spans="1:17" ht="30">
      <c r="A467" s="258">
        <v>459</v>
      </c>
      <c r="B467" s="252" t="s">
        <v>1928</v>
      </c>
      <c r="C467" s="248" t="s">
        <v>1929</v>
      </c>
      <c r="D467" s="339">
        <v>6.9589999999999996</v>
      </c>
      <c r="E467" s="340"/>
      <c r="F467" s="245"/>
      <c r="G467" s="246"/>
      <c r="H467" s="340">
        <v>0</v>
      </c>
      <c r="I467" s="245">
        <f t="shared" si="46"/>
        <v>0</v>
      </c>
      <c r="J467" s="247">
        <v>0</v>
      </c>
      <c r="K467" s="245">
        <f t="shared" si="49"/>
        <v>0</v>
      </c>
      <c r="L467" s="262">
        <f t="shared" si="48"/>
        <v>0</v>
      </c>
      <c r="M467" s="245">
        <f t="shared" ref="M467:M518" si="50">L467/D467</f>
        <v>0</v>
      </c>
      <c r="N467" s="247">
        <v>0</v>
      </c>
      <c r="O467" s="245">
        <f t="shared" si="47"/>
        <v>0</v>
      </c>
      <c r="P467" s="433" t="s">
        <v>1488</v>
      </c>
      <c r="Q467" s="433">
        <v>2019</v>
      </c>
    </row>
    <row r="468" spans="1:17" ht="45">
      <c r="A468" s="258">
        <v>460</v>
      </c>
      <c r="B468" s="252" t="s">
        <v>1930</v>
      </c>
      <c r="C468" s="248" t="s">
        <v>1931</v>
      </c>
      <c r="D468" s="339">
        <v>24.515000000000001</v>
      </c>
      <c r="E468" s="340"/>
      <c r="F468" s="245"/>
      <c r="G468" s="246"/>
      <c r="H468" s="340">
        <v>6</v>
      </c>
      <c r="I468" s="245">
        <f t="shared" si="46"/>
        <v>0.24474811339995919</v>
      </c>
      <c r="J468" s="247">
        <v>0</v>
      </c>
      <c r="K468" s="245">
        <f t="shared" si="49"/>
        <v>0</v>
      </c>
      <c r="L468" s="262">
        <f t="shared" si="48"/>
        <v>0</v>
      </c>
      <c r="M468" s="245">
        <f t="shared" si="50"/>
        <v>0</v>
      </c>
      <c r="N468" s="247">
        <v>0</v>
      </c>
      <c r="O468" s="245">
        <f t="shared" si="47"/>
        <v>0</v>
      </c>
      <c r="P468" s="433" t="s">
        <v>1488</v>
      </c>
      <c r="Q468" s="433">
        <v>2019</v>
      </c>
    </row>
    <row r="469" spans="1:17">
      <c r="A469" s="258">
        <v>461</v>
      </c>
      <c r="B469" s="252" t="s">
        <v>1932</v>
      </c>
      <c r="C469" s="248" t="s">
        <v>1933</v>
      </c>
      <c r="D469" s="339">
        <v>12.15</v>
      </c>
      <c r="E469" s="340"/>
      <c r="F469" s="245"/>
      <c r="G469" s="246"/>
      <c r="H469" s="340"/>
      <c r="I469" s="245"/>
      <c r="J469" s="247">
        <v>0</v>
      </c>
      <c r="K469" s="245">
        <f t="shared" si="49"/>
        <v>0</v>
      </c>
      <c r="L469" s="262">
        <f t="shared" si="48"/>
        <v>0</v>
      </c>
      <c r="M469" s="245">
        <f t="shared" si="50"/>
        <v>0</v>
      </c>
      <c r="N469" s="247">
        <v>0</v>
      </c>
      <c r="O469" s="245">
        <f t="shared" si="47"/>
        <v>0</v>
      </c>
      <c r="P469" s="433" t="s">
        <v>1488</v>
      </c>
      <c r="Q469" s="433">
        <v>2019</v>
      </c>
    </row>
    <row r="470" spans="1:17">
      <c r="A470" s="258">
        <v>462</v>
      </c>
      <c r="B470" s="252" t="s">
        <v>1934</v>
      </c>
      <c r="C470" s="248" t="s">
        <v>1935</v>
      </c>
      <c r="D470" s="339">
        <v>7.2</v>
      </c>
      <c r="E470" s="340"/>
      <c r="F470" s="245"/>
      <c r="G470" s="246"/>
      <c r="H470" s="340"/>
      <c r="I470" s="245"/>
      <c r="J470" s="247">
        <v>0</v>
      </c>
      <c r="K470" s="245">
        <f t="shared" si="49"/>
        <v>0</v>
      </c>
      <c r="L470" s="262">
        <f t="shared" si="48"/>
        <v>0</v>
      </c>
      <c r="M470" s="245">
        <f t="shared" si="50"/>
        <v>0</v>
      </c>
      <c r="N470" s="247">
        <v>0</v>
      </c>
      <c r="O470" s="245">
        <f t="shared" si="47"/>
        <v>0</v>
      </c>
      <c r="P470" s="433" t="s">
        <v>1488</v>
      </c>
      <c r="Q470" s="433">
        <v>2019</v>
      </c>
    </row>
    <row r="471" spans="1:17" ht="60">
      <c r="A471" s="258">
        <v>463</v>
      </c>
      <c r="B471" s="252" t="s">
        <v>1936</v>
      </c>
      <c r="C471" s="248" t="s">
        <v>1937</v>
      </c>
      <c r="D471" s="339">
        <v>0.70199999999999996</v>
      </c>
      <c r="E471" s="340"/>
      <c r="F471" s="245"/>
      <c r="G471" s="246"/>
      <c r="H471" s="340">
        <v>0</v>
      </c>
      <c r="I471" s="245">
        <f t="shared" si="46"/>
        <v>0</v>
      </c>
      <c r="J471" s="247">
        <v>0</v>
      </c>
      <c r="K471" s="245">
        <f t="shared" si="49"/>
        <v>0</v>
      </c>
      <c r="L471" s="262">
        <f t="shared" si="48"/>
        <v>0</v>
      </c>
      <c r="M471" s="245">
        <f t="shared" si="50"/>
        <v>0</v>
      </c>
      <c r="N471" s="247">
        <v>0</v>
      </c>
      <c r="O471" s="245">
        <f t="shared" si="47"/>
        <v>0</v>
      </c>
      <c r="P471" s="433" t="s">
        <v>1488</v>
      </c>
      <c r="Q471" s="433">
        <v>2019</v>
      </c>
    </row>
    <row r="472" spans="1:17" ht="60">
      <c r="A472" s="258">
        <v>464</v>
      </c>
      <c r="B472" s="252" t="s">
        <v>1938</v>
      </c>
      <c r="C472" s="248" t="s">
        <v>1939</v>
      </c>
      <c r="D472" s="339">
        <v>6.3049999999999997</v>
      </c>
      <c r="E472" s="340"/>
      <c r="F472" s="245"/>
      <c r="G472" s="246"/>
      <c r="H472" s="340">
        <v>0</v>
      </c>
      <c r="I472" s="245">
        <f t="shared" si="46"/>
        <v>0</v>
      </c>
      <c r="J472" s="247">
        <v>0</v>
      </c>
      <c r="K472" s="245">
        <f t="shared" si="49"/>
        <v>0</v>
      </c>
      <c r="L472" s="262">
        <f t="shared" si="48"/>
        <v>0</v>
      </c>
      <c r="M472" s="245">
        <f t="shared" si="50"/>
        <v>0</v>
      </c>
      <c r="N472" s="247">
        <v>0</v>
      </c>
      <c r="O472" s="245">
        <f t="shared" si="47"/>
        <v>0</v>
      </c>
      <c r="P472" s="433" t="s">
        <v>1488</v>
      </c>
      <c r="Q472" s="433">
        <v>2019</v>
      </c>
    </row>
    <row r="473" spans="1:17" ht="60">
      <c r="A473" s="258">
        <v>465</v>
      </c>
      <c r="B473" s="252" t="s">
        <v>1940</v>
      </c>
      <c r="C473" s="248" t="s">
        <v>1941</v>
      </c>
      <c r="D473" s="339">
        <f>6.396+1.5</f>
        <v>7.8959999999999999</v>
      </c>
      <c r="E473" s="340"/>
      <c r="F473" s="245"/>
      <c r="G473" s="246"/>
      <c r="H473" s="340">
        <v>0</v>
      </c>
      <c r="I473" s="245">
        <f t="shared" si="46"/>
        <v>0</v>
      </c>
      <c r="J473" s="247">
        <v>0</v>
      </c>
      <c r="K473" s="245">
        <f t="shared" si="49"/>
        <v>0</v>
      </c>
      <c r="L473" s="262">
        <f t="shared" si="48"/>
        <v>0</v>
      </c>
      <c r="M473" s="245">
        <f t="shared" si="50"/>
        <v>0</v>
      </c>
      <c r="N473" s="247">
        <v>0</v>
      </c>
      <c r="O473" s="245">
        <f t="shared" si="47"/>
        <v>0</v>
      </c>
      <c r="P473" s="433" t="s">
        <v>1488</v>
      </c>
      <c r="Q473" s="433">
        <v>2019</v>
      </c>
    </row>
    <row r="474" spans="1:17" ht="60">
      <c r="A474" s="258">
        <v>466</v>
      </c>
      <c r="B474" s="252" t="s">
        <v>1942</v>
      </c>
      <c r="C474" s="248" t="s">
        <v>1943</v>
      </c>
      <c r="D474" s="339">
        <v>0.79</v>
      </c>
      <c r="E474" s="340"/>
      <c r="F474" s="245"/>
      <c r="G474" s="246"/>
      <c r="H474" s="340">
        <v>0</v>
      </c>
      <c r="I474" s="245">
        <f t="shared" si="46"/>
        <v>0</v>
      </c>
      <c r="J474" s="247">
        <v>0</v>
      </c>
      <c r="K474" s="245">
        <f t="shared" si="49"/>
        <v>0</v>
      </c>
      <c r="L474" s="262">
        <f t="shared" si="48"/>
        <v>0</v>
      </c>
      <c r="M474" s="245">
        <f t="shared" si="50"/>
        <v>0</v>
      </c>
      <c r="N474" s="247">
        <v>0</v>
      </c>
      <c r="O474" s="245">
        <f t="shared" si="47"/>
        <v>0</v>
      </c>
      <c r="P474" s="433" t="s">
        <v>1488</v>
      </c>
      <c r="Q474" s="433">
        <v>2019</v>
      </c>
    </row>
    <row r="475" spans="1:17" ht="75">
      <c r="A475" s="258">
        <v>467</v>
      </c>
      <c r="B475" s="252" t="s">
        <v>1944</v>
      </c>
      <c r="C475" s="248" t="s">
        <v>1945</v>
      </c>
      <c r="D475" s="339">
        <v>3.8410000000000002</v>
      </c>
      <c r="E475" s="340"/>
      <c r="F475" s="245"/>
      <c r="G475" s="246"/>
      <c r="H475" s="340">
        <v>0</v>
      </c>
      <c r="I475" s="245">
        <f t="shared" si="46"/>
        <v>0</v>
      </c>
      <c r="J475" s="247">
        <v>0</v>
      </c>
      <c r="K475" s="245">
        <f t="shared" si="49"/>
        <v>0</v>
      </c>
      <c r="L475" s="262">
        <f t="shared" si="48"/>
        <v>0</v>
      </c>
      <c r="M475" s="245">
        <f t="shared" si="50"/>
        <v>0</v>
      </c>
      <c r="N475" s="247">
        <v>0</v>
      </c>
      <c r="O475" s="245">
        <f t="shared" ref="O475:O506" si="51">N475/D475</f>
        <v>0</v>
      </c>
      <c r="P475" s="433" t="s">
        <v>1488</v>
      </c>
      <c r="Q475" s="433">
        <v>2019</v>
      </c>
    </row>
    <row r="476" spans="1:17" ht="30">
      <c r="A476" s="258">
        <v>468</v>
      </c>
      <c r="B476" s="252" t="s">
        <v>1946</v>
      </c>
      <c r="C476" s="248" t="s">
        <v>1947</v>
      </c>
      <c r="D476" s="339">
        <v>3.85</v>
      </c>
      <c r="E476" s="340"/>
      <c r="F476" s="245"/>
      <c r="G476" s="246"/>
      <c r="H476" s="340">
        <v>0</v>
      </c>
      <c r="I476" s="245">
        <f t="shared" si="46"/>
        <v>0</v>
      </c>
      <c r="J476" s="247">
        <v>0</v>
      </c>
      <c r="K476" s="245">
        <f t="shared" si="49"/>
        <v>0</v>
      </c>
      <c r="L476" s="262">
        <f t="shared" si="48"/>
        <v>0</v>
      </c>
      <c r="M476" s="245">
        <f t="shared" si="50"/>
        <v>0</v>
      </c>
      <c r="N476" s="247">
        <v>0</v>
      </c>
      <c r="O476" s="245">
        <f t="shared" si="51"/>
        <v>0</v>
      </c>
      <c r="P476" s="433" t="s">
        <v>1488</v>
      </c>
      <c r="Q476" s="433">
        <v>2019</v>
      </c>
    </row>
    <row r="477" spans="1:17" ht="30">
      <c r="A477" s="258">
        <v>469</v>
      </c>
      <c r="B477" s="252" t="s">
        <v>1948</v>
      </c>
      <c r="C477" s="248" t="s">
        <v>1949</v>
      </c>
      <c r="D477" s="339">
        <v>4.46</v>
      </c>
      <c r="E477" s="340"/>
      <c r="F477" s="245"/>
      <c r="G477" s="246"/>
      <c r="H477" s="340">
        <v>0</v>
      </c>
      <c r="I477" s="245">
        <f t="shared" si="46"/>
        <v>0</v>
      </c>
      <c r="J477" s="247">
        <v>0</v>
      </c>
      <c r="K477" s="245">
        <f t="shared" si="49"/>
        <v>0</v>
      </c>
      <c r="L477" s="262">
        <f t="shared" si="48"/>
        <v>0</v>
      </c>
      <c r="M477" s="245">
        <f t="shared" si="50"/>
        <v>0</v>
      </c>
      <c r="N477" s="247">
        <v>0</v>
      </c>
      <c r="O477" s="245">
        <f t="shared" si="51"/>
        <v>0</v>
      </c>
      <c r="P477" s="433" t="s">
        <v>1488</v>
      </c>
      <c r="Q477" s="433">
        <v>2019</v>
      </c>
    </row>
    <row r="478" spans="1:17" ht="45">
      <c r="A478" s="258">
        <v>470</v>
      </c>
      <c r="B478" s="252" t="s">
        <v>1950</v>
      </c>
      <c r="C478" s="248" t="s">
        <v>1951</v>
      </c>
      <c r="D478" s="339">
        <v>2.68</v>
      </c>
      <c r="E478" s="340"/>
      <c r="F478" s="245"/>
      <c r="G478" s="246"/>
      <c r="H478" s="340">
        <v>0</v>
      </c>
      <c r="I478" s="245">
        <f t="shared" si="46"/>
        <v>0</v>
      </c>
      <c r="J478" s="247">
        <v>0</v>
      </c>
      <c r="K478" s="245">
        <f t="shared" si="49"/>
        <v>0</v>
      </c>
      <c r="L478" s="262">
        <f t="shared" si="48"/>
        <v>0</v>
      </c>
      <c r="M478" s="245">
        <f t="shared" si="50"/>
        <v>0</v>
      </c>
      <c r="N478" s="247">
        <v>0</v>
      </c>
      <c r="O478" s="245">
        <f t="shared" si="51"/>
        <v>0</v>
      </c>
      <c r="P478" s="433" t="s">
        <v>1488</v>
      </c>
      <c r="Q478" s="433">
        <v>2019</v>
      </c>
    </row>
    <row r="479" spans="1:17" ht="45">
      <c r="A479" s="258">
        <v>471</v>
      </c>
      <c r="B479" s="252" t="s">
        <v>1952</v>
      </c>
      <c r="C479" s="248" t="s">
        <v>1953</v>
      </c>
      <c r="D479" s="339">
        <v>7.65</v>
      </c>
      <c r="E479" s="340"/>
      <c r="F479" s="245"/>
      <c r="G479" s="246"/>
      <c r="H479" s="340"/>
      <c r="I479" s="245"/>
      <c r="J479" s="247">
        <v>0</v>
      </c>
      <c r="K479" s="245">
        <f t="shared" si="49"/>
        <v>0</v>
      </c>
      <c r="L479" s="262">
        <f t="shared" si="48"/>
        <v>0</v>
      </c>
      <c r="M479" s="245">
        <f t="shared" si="50"/>
        <v>0</v>
      </c>
      <c r="N479" s="247">
        <v>0</v>
      </c>
      <c r="O479" s="245">
        <f t="shared" si="51"/>
        <v>0</v>
      </c>
      <c r="P479" s="433" t="s">
        <v>1488</v>
      </c>
      <c r="Q479" s="433">
        <v>2019</v>
      </c>
    </row>
    <row r="480" spans="1:17" ht="45">
      <c r="A480" s="258">
        <v>472</v>
      </c>
      <c r="B480" s="252" t="s">
        <v>1954</v>
      </c>
      <c r="C480" s="248" t="s">
        <v>1955</v>
      </c>
      <c r="D480" s="339">
        <v>9.5</v>
      </c>
      <c r="E480" s="340"/>
      <c r="F480" s="245"/>
      <c r="G480" s="246"/>
      <c r="H480" s="340">
        <v>0</v>
      </c>
      <c r="I480" s="245">
        <f t="shared" ref="I480:I517" si="52">H480/D480</f>
        <v>0</v>
      </c>
      <c r="J480" s="247">
        <v>0</v>
      </c>
      <c r="K480" s="245">
        <f t="shared" si="49"/>
        <v>0</v>
      </c>
      <c r="L480" s="262">
        <f t="shared" si="48"/>
        <v>0</v>
      </c>
      <c r="M480" s="245">
        <f t="shared" si="50"/>
        <v>0</v>
      </c>
      <c r="N480" s="247">
        <v>0</v>
      </c>
      <c r="O480" s="245">
        <f t="shared" si="51"/>
        <v>0</v>
      </c>
      <c r="P480" s="433" t="s">
        <v>1488</v>
      </c>
      <c r="Q480" s="433">
        <v>2019</v>
      </c>
    </row>
    <row r="481" spans="1:17" ht="45">
      <c r="A481" s="258">
        <v>473</v>
      </c>
      <c r="B481" s="252" t="s">
        <v>1956</v>
      </c>
      <c r="C481" s="248" t="s">
        <v>894</v>
      </c>
      <c r="D481" s="339">
        <v>7.22</v>
      </c>
      <c r="E481" s="340"/>
      <c r="F481" s="245"/>
      <c r="G481" s="246"/>
      <c r="H481" s="340">
        <v>0</v>
      </c>
      <c r="I481" s="245">
        <f t="shared" si="52"/>
        <v>0</v>
      </c>
      <c r="J481" s="247">
        <v>0</v>
      </c>
      <c r="K481" s="245">
        <f t="shared" si="49"/>
        <v>0</v>
      </c>
      <c r="L481" s="262">
        <f t="shared" si="48"/>
        <v>0</v>
      </c>
      <c r="M481" s="245">
        <f t="shared" si="50"/>
        <v>0</v>
      </c>
      <c r="N481" s="247">
        <v>0</v>
      </c>
      <c r="O481" s="245">
        <f t="shared" si="51"/>
        <v>0</v>
      </c>
      <c r="P481" s="433" t="s">
        <v>1488</v>
      </c>
      <c r="Q481" s="433">
        <v>2019</v>
      </c>
    </row>
    <row r="482" spans="1:17" ht="45">
      <c r="A482" s="258">
        <v>474</v>
      </c>
      <c r="B482" s="252" t="s">
        <v>1957</v>
      </c>
      <c r="C482" s="248" t="s">
        <v>1958</v>
      </c>
      <c r="D482" s="339">
        <v>0.42</v>
      </c>
      <c r="E482" s="340"/>
      <c r="F482" s="245"/>
      <c r="G482" s="246"/>
      <c r="H482" s="340">
        <v>0</v>
      </c>
      <c r="I482" s="245">
        <f t="shared" si="52"/>
        <v>0</v>
      </c>
      <c r="J482" s="247">
        <v>0</v>
      </c>
      <c r="K482" s="245">
        <f t="shared" si="49"/>
        <v>0</v>
      </c>
      <c r="L482" s="262">
        <f t="shared" si="48"/>
        <v>0</v>
      </c>
      <c r="M482" s="245">
        <f t="shared" si="50"/>
        <v>0</v>
      </c>
      <c r="N482" s="247">
        <v>0</v>
      </c>
      <c r="O482" s="245">
        <f t="shared" si="51"/>
        <v>0</v>
      </c>
      <c r="P482" s="433" t="s">
        <v>1488</v>
      </c>
      <c r="Q482" s="433">
        <v>2019</v>
      </c>
    </row>
    <row r="483" spans="1:17" ht="30">
      <c r="A483" s="258">
        <v>475</v>
      </c>
      <c r="B483" s="252" t="s">
        <v>1959</v>
      </c>
      <c r="C483" s="248" t="s">
        <v>1960</v>
      </c>
      <c r="D483" s="339">
        <v>0.65</v>
      </c>
      <c r="E483" s="340"/>
      <c r="F483" s="245"/>
      <c r="G483" s="246"/>
      <c r="H483" s="340">
        <v>0</v>
      </c>
      <c r="I483" s="245">
        <f t="shared" si="52"/>
        <v>0</v>
      </c>
      <c r="J483" s="247">
        <v>0</v>
      </c>
      <c r="K483" s="245">
        <f t="shared" si="49"/>
        <v>0</v>
      </c>
      <c r="L483" s="262">
        <f t="shared" si="48"/>
        <v>0</v>
      </c>
      <c r="M483" s="245">
        <f t="shared" si="50"/>
        <v>0</v>
      </c>
      <c r="N483" s="247">
        <v>0</v>
      </c>
      <c r="O483" s="245">
        <f t="shared" si="51"/>
        <v>0</v>
      </c>
      <c r="P483" s="433" t="s">
        <v>1488</v>
      </c>
      <c r="Q483" s="433">
        <v>2019</v>
      </c>
    </row>
    <row r="484" spans="1:17" ht="45">
      <c r="A484" s="258">
        <v>476</v>
      </c>
      <c r="B484" s="252" t="s">
        <v>1961</v>
      </c>
      <c r="C484" s="248" t="s">
        <v>1962</v>
      </c>
      <c r="D484" s="339">
        <v>7.7149999999999999</v>
      </c>
      <c r="E484" s="340"/>
      <c r="F484" s="245"/>
      <c r="G484" s="246"/>
      <c r="H484" s="340">
        <v>0</v>
      </c>
      <c r="I484" s="245">
        <f t="shared" si="52"/>
        <v>0</v>
      </c>
      <c r="J484" s="247">
        <v>0</v>
      </c>
      <c r="K484" s="245">
        <f t="shared" si="49"/>
        <v>0</v>
      </c>
      <c r="L484" s="262">
        <f t="shared" si="48"/>
        <v>0</v>
      </c>
      <c r="M484" s="245">
        <f t="shared" si="50"/>
        <v>0</v>
      </c>
      <c r="N484" s="247">
        <v>0</v>
      </c>
      <c r="O484" s="245">
        <f t="shared" si="51"/>
        <v>0</v>
      </c>
      <c r="P484" s="433" t="s">
        <v>1488</v>
      </c>
      <c r="Q484" s="433">
        <v>2019</v>
      </c>
    </row>
    <row r="485" spans="1:17" ht="30">
      <c r="A485" s="258">
        <v>477</v>
      </c>
      <c r="B485" s="252" t="s">
        <v>1963</v>
      </c>
      <c r="C485" s="248" t="s">
        <v>1964</v>
      </c>
      <c r="D485" s="339">
        <v>24.033000000000001</v>
      </c>
      <c r="E485" s="340"/>
      <c r="F485" s="245"/>
      <c r="G485" s="246"/>
      <c r="H485" s="340">
        <v>13</v>
      </c>
      <c r="I485" s="245">
        <f t="shared" si="52"/>
        <v>0.54092289768235335</v>
      </c>
      <c r="J485" s="247">
        <v>0</v>
      </c>
      <c r="K485" s="245">
        <f t="shared" si="49"/>
        <v>0</v>
      </c>
      <c r="L485" s="262">
        <f t="shared" si="48"/>
        <v>0</v>
      </c>
      <c r="M485" s="245">
        <f t="shared" si="50"/>
        <v>0</v>
      </c>
      <c r="N485" s="247">
        <v>0</v>
      </c>
      <c r="O485" s="245">
        <f t="shared" si="51"/>
        <v>0</v>
      </c>
      <c r="P485" s="433" t="s">
        <v>1488</v>
      </c>
      <c r="Q485" s="433">
        <v>2019</v>
      </c>
    </row>
    <row r="486" spans="1:17">
      <c r="A486" s="258">
        <v>478</v>
      </c>
      <c r="B486" s="252" t="s">
        <v>1965</v>
      </c>
      <c r="C486" s="248" t="s">
        <v>1966</v>
      </c>
      <c r="D486" s="339">
        <v>45.76</v>
      </c>
      <c r="E486" s="340"/>
      <c r="F486" s="245"/>
      <c r="G486" s="246"/>
      <c r="H486" s="340">
        <v>0</v>
      </c>
      <c r="I486" s="245">
        <f t="shared" si="52"/>
        <v>0</v>
      </c>
      <c r="J486" s="247">
        <v>0</v>
      </c>
      <c r="K486" s="245">
        <f t="shared" si="49"/>
        <v>0</v>
      </c>
      <c r="L486" s="262">
        <f t="shared" si="48"/>
        <v>0</v>
      </c>
      <c r="M486" s="245">
        <f t="shared" si="50"/>
        <v>0</v>
      </c>
      <c r="N486" s="247">
        <v>0</v>
      </c>
      <c r="O486" s="245">
        <f t="shared" si="51"/>
        <v>0</v>
      </c>
      <c r="P486" s="433" t="s">
        <v>1488</v>
      </c>
      <c r="Q486" s="433">
        <v>2019</v>
      </c>
    </row>
    <row r="487" spans="1:17" ht="30">
      <c r="A487" s="258">
        <v>479</v>
      </c>
      <c r="B487" s="252" t="s">
        <v>1967</v>
      </c>
      <c r="C487" s="248" t="s">
        <v>1968</v>
      </c>
      <c r="D487" s="339">
        <v>6.8120000000000003</v>
      </c>
      <c r="E487" s="340"/>
      <c r="F487" s="245"/>
      <c r="G487" s="246"/>
      <c r="H487" s="340">
        <v>0</v>
      </c>
      <c r="I487" s="245">
        <f t="shared" si="52"/>
        <v>0</v>
      </c>
      <c r="J487" s="247">
        <v>0</v>
      </c>
      <c r="K487" s="245">
        <f t="shared" si="49"/>
        <v>0</v>
      </c>
      <c r="L487" s="262">
        <f t="shared" si="48"/>
        <v>0</v>
      </c>
      <c r="M487" s="245">
        <f t="shared" si="50"/>
        <v>0</v>
      </c>
      <c r="N487" s="247">
        <v>0</v>
      </c>
      <c r="O487" s="245">
        <f t="shared" si="51"/>
        <v>0</v>
      </c>
      <c r="P487" s="433" t="s">
        <v>1488</v>
      </c>
      <c r="Q487" s="433">
        <v>2019</v>
      </c>
    </row>
    <row r="488" spans="1:17">
      <c r="A488" s="258">
        <v>480</v>
      </c>
      <c r="B488" s="252" t="s">
        <v>1969</v>
      </c>
      <c r="C488" s="248" t="s">
        <v>1970</v>
      </c>
      <c r="D488" s="339">
        <v>20.295000000000002</v>
      </c>
      <c r="E488" s="340"/>
      <c r="F488" s="245"/>
      <c r="G488" s="246"/>
      <c r="H488" s="340">
        <v>8</v>
      </c>
      <c r="I488" s="245">
        <f t="shared" si="52"/>
        <v>0.39418576003941852</v>
      </c>
      <c r="J488" s="247">
        <v>0</v>
      </c>
      <c r="K488" s="245">
        <f t="shared" si="49"/>
        <v>0</v>
      </c>
      <c r="L488" s="262">
        <f t="shared" si="48"/>
        <v>0</v>
      </c>
      <c r="M488" s="245">
        <f t="shared" si="50"/>
        <v>0</v>
      </c>
      <c r="N488" s="247">
        <v>0</v>
      </c>
      <c r="O488" s="245">
        <f t="shared" si="51"/>
        <v>0</v>
      </c>
      <c r="P488" s="433" t="s">
        <v>1488</v>
      </c>
      <c r="Q488" s="433">
        <v>2019</v>
      </c>
    </row>
    <row r="489" spans="1:17">
      <c r="A489" s="258">
        <v>481</v>
      </c>
      <c r="B489" s="252" t="s">
        <v>1971</v>
      </c>
      <c r="C489" s="248" t="s">
        <v>1972</v>
      </c>
      <c r="D489" s="339">
        <v>25.2</v>
      </c>
      <c r="E489" s="340"/>
      <c r="F489" s="245"/>
      <c r="G489" s="246"/>
      <c r="H489" s="340">
        <v>0</v>
      </c>
      <c r="I489" s="245">
        <f t="shared" si="52"/>
        <v>0</v>
      </c>
      <c r="J489" s="247">
        <v>0</v>
      </c>
      <c r="K489" s="245">
        <f t="shared" si="49"/>
        <v>0</v>
      </c>
      <c r="L489" s="262">
        <f t="shared" si="48"/>
        <v>0</v>
      </c>
      <c r="M489" s="245">
        <f t="shared" si="50"/>
        <v>0</v>
      </c>
      <c r="N489" s="247">
        <v>0</v>
      </c>
      <c r="O489" s="245">
        <f t="shared" si="51"/>
        <v>0</v>
      </c>
      <c r="P489" s="433" t="s">
        <v>1488</v>
      </c>
      <c r="Q489" s="433">
        <v>2019</v>
      </c>
    </row>
    <row r="490" spans="1:17" ht="30">
      <c r="A490" s="258">
        <v>482</v>
      </c>
      <c r="B490" s="252" t="s">
        <v>1973</v>
      </c>
      <c r="C490" s="248" t="s">
        <v>1974</v>
      </c>
      <c r="D490" s="339">
        <v>3.4420000000000002</v>
      </c>
      <c r="E490" s="340"/>
      <c r="F490" s="245"/>
      <c r="G490" s="246"/>
      <c r="H490" s="340">
        <v>0</v>
      </c>
      <c r="I490" s="245">
        <f t="shared" si="52"/>
        <v>0</v>
      </c>
      <c r="J490" s="247">
        <v>0</v>
      </c>
      <c r="K490" s="245">
        <f t="shared" si="49"/>
        <v>0</v>
      </c>
      <c r="L490" s="262">
        <f t="shared" si="48"/>
        <v>0</v>
      </c>
      <c r="M490" s="245">
        <f t="shared" si="50"/>
        <v>0</v>
      </c>
      <c r="N490" s="247">
        <v>0</v>
      </c>
      <c r="O490" s="245">
        <f t="shared" si="51"/>
        <v>0</v>
      </c>
      <c r="P490" s="433" t="s">
        <v>1488</v>
      </c>
      <c r="Q490" s="433">
        <v>2019</v>
      </c>
    </row>
    <row r="491" spans="1:17" ht="60">
      <c r="A491" s="258">
        <v>483</v>
      </c>
      <c r="B491" s="252" t="s">
        <v>1975</v>
      </c>
      <c r="C491" s="248" t="s">
        <v>1976</v>
      </c>
      <c r="D491" s="339">
        <v>0.67</v>
      </c>
      <c r="E491" s="340"/>
      <c r="F491" s="245"/>
      <c r="G491" s="246"/>
      <c r="H491" s="340">
        <v>0</v>
      </c>
      <c r="I491" s="245">
        <f t="shared" si="52"/>
        <v>0</v>
      </c>
      <c r="J491" s="247">
        <v>0</v>
      </c>
      <c r="K491" s="245">
        <f t="shared" si="49"/>
        <v>0</v>
      </c>
      <c r="L491" s="262">
        <f t="shared" si="48"/>
        <v>0</v>
      </c>
      <c r="M491" s="245">
        <f t="shared" si="50"/>
        <v>0</v>
      </c>
      <c r="N491" s="247">
        <v>0</v>
      </c>
      <c r="O491" s="245">
        <f t="shared" si="51"/>
        <v>0</v>
      </c>
      <c r="P491" s="433" t="s">
        <v>1488</v>
      </c>
      <c r="Q491" s="433">
        <v>2019</v>
      </c>
    </row>
    <row r="492" spans="1:17" ht="60">
      <c r="A492" s="258">
        <v>484</v>
      </c>
      <c r="B492" s="252" t="s">
        <v>1977</v>
      </c>
      <c r="C492" s="248" t="s">
        <v>1978</v>
      </c>
      <c r="D492" s="339">
        <v>1.335</v>
      </c>
      <c r="E492" s="340"/>
      <c r="F492" s="245"/>
      <c r="G492" s="246"/>
      <c r="H492" s="340">
        <v>0</v>
      </c>
      <c r="I492" s="245">
        <f t="shared" si="52"/>
        <v>0</v>
      </c>
      <c r="J492" s="247">
        <v>0</v>
      </c>
      <c r="K492" s="245">
        <f t="shared" si="49"/>
        <v>0</v>
      </c>
      <c r="L492" s="262">
        <f t="shared" si="48"/>
        <v>0</v>
      </c>
      <c r="M492" s="245">
        <f t="shared" si="50"/>
        <v>0</v>
      </c>
      <c r="N492" s="247">
        <v>0</v>
      </c>
      <c r="O492" s="245">
        <f t="shared" si="51"/>
        <v>0</v>
      </c>
      <c r="P492" s="433" t="s">
        <v>1488</v>
      </c>
      <c r="Q492" s="433">
        <v>2019</v>
      </c>
    </row>
    <row r="493" spans="1:17" ht="60">
      <c r="A493" s="258">
        <v>485</v>
      </c>
      <c r="B493" s="252" t="s">
        <v>1979</v>
      </c>
      <c r="C493" s="248" t="s">
        <v>1980</v>
      </c>
      <c r="D493" s="339">
        <v>6.05</v>
      </c>
      <c r="E493" s="340"/>
      <c r="F493" s="245"/>
      <c r="G493" s="246"/>
      <c r="H493" s="340">
        <v>0</v>
      </c>
      <c r="I493" s="245">
        <f t="shared" si="52"/>
        <v>0</v>
      </c>
      <c r="J493" s="247">
        <v>0</v>
      </c>
      <c r="K493" s="245">
        <f t="shared" si="49"/>
        <v>0</v>
      </c>
      <c r="L493" s="262">
        <f t="shared" si="48"/>
        <v>0</v>
      </c>
      <c r="M493" s="245">
        <f t="shared" si="50"/>
        <v>0</v>
      </c>
      <c r="N493" s="247">
        <v>0</v>
      </c>
      <c r="O493" s="245">
        <f t="shared" si="51"/>
        <v>0</v>
      </c>
      <c r="P493" s="433" t="s">
        <v>1488</v>
      </c>
      <c r="Q493" s="433">
        <v>2019</v>
      </c>
    </row>
    <row r="494" spans="1:17" ht="60">
      <c r="A494" s="258">
        <v>486</v>
      </c>
      <c r="B494" s="252" t="s">
        <v>1981</v>
      </c>
      <c r="C494" s="248" t="s">
        <v>1982</v>
      </c>
      <c r="D494" s="339">
        <v>0.185</v>
      </c>
      <c r="E494" s="340"/>
      <c r="F494" s="245"/>
      <c r="G494" s="246"/>
      <c r="H494" s="340">
        <v>0</v>
      </c>
      <c r="I494" s="245">
        <f t="shared" si="52"/>
        <v>0</v>
      </c>
      <c r="J494" s="247">
        <v>0</v>
      </c>
      <c r="K494" s="245">
        <f t="shared" si="49"/>
        <v>0</v>
      </c>
      <c r="L494" s="262">
        <f t="shared" si="48"/>
        <v>0</v>
      </c>
      <c r="M494" s="245">
        <f t="shared" si="50"/>
        <v>0</v>
      </c>
      <c r="N494" s="247">
        <v>0</v>
      </c>
      <c r="O494" s="245">
        <f t="shared" si="51"/>
        <v>0</v>
      </c>
      <c r="P494" s="433" t="s">
        <v>1488</v>
      </c>
      <c r="Q494" s="433">
        <v>2019</v>
      </c>
    </row>
    <row r="495" spans="1:17" ht="60">
      <c r="A495" s="258">
        <v>487</v>
      </c>
      <c r="B495" s="252" t="s">
        <v>1983</v>
      </c>
      <c r="C495" s="248" t="s">
        <v>1984</v>
      </c>
      <c r="D495" s="339">
        <v>9.0399999999999991</v>
      </c>
      <c r="E495" s="340"/>
      <c r="F495" s="245"/>
      <c r="G495" s="246"/>
      <c r="H495" s="340">
        <v>0</v>
      </c>
      <c r="I495" s="245">
        <f t="shared" si="52"/>
        <v>0</v>
      </c>
      <c r="J495" s="247">
        <v>0</v>
      </c>
      <c r="K495" s="245">
        <f t="shared" si="49"/>
        <v>0</v>
      </c>
      <c r="L495" s="262">
        <f t="shared" si="48"/>
        <v>0</v>
      </c>
      <c r="M495" s="245">
        <f t="shared" si="50"/>
        <v>0</v>
      </c>
      <c r="N495" s="247">
        <v>0</v>
      </c>
      <c r="O495" s="245">
        <f t="shared" si="51"/>
        <v>0</v>
      </c>
      <c r="P495" s="433" t="s">
        <v>1488</v>
      </c>
      <c r="Q495" s="433">
        <v>2019</v>
      </c>
    </row>
    <row r="496" spans="1:17" ht="30">
      <c r="A496" s="258">
        <v>488</v>
      </c>
      <c r="B496" s="252" t="s">
        <v>1985</v>
      </c>
      <c r="C496" s="248" t="s">
        <v>1986</v>
      </c>
      <c r="D496" s="339">
        <v>18.202000000000002</v>
      </c>
      <c r="E496" s="340"/>
      <c r="F496" s="245"/>
      <c r="G496" s="246"/>
      <c r="H496" s="340">
        <v>0</v>
      </c>
      <c r="I496" s="245">
        <f t="shared" si="52"/>
        <v>0</v>
      </c>
      <c r="J496" s="247">
        <v>0</v>
      </c>
      <c r="K496" s="245">
        <f t="shared" si="49"/>
        <v>0</v>
      </c>
      <c r="L496" s="262">
        <f t="shared" si="48"/>
        <v>0</v>
      </c>
      <c r="M496" s="245">
        <f t="shared" si="50"/>
        <v>0</v>
      </c>
      <c r="N496" s="247">
        <v>0</v>
      </c>
      <c r="O496" s="245">
        <f t="shared" si="51"/>
        <v>0</v>
      </c>
      <c r="P496" s="433" t="s">
        <v>1488</v>
      </c>
      <c r="Q496" s="433">
        <v>2019</v>
      </c>
    </row>
    <row r="497" spans="1:17" ht="30">
      <c r="A497" s="258">
        <v>489</v>
      </c>
      <c r="B497" s="252" t="s">
        <v>1987</v>
      </c>
      <c r="C497" s="248" t="s">
        <v>1988</v>
      </c>
      <c r="D497" s="339">
        <v>27.4</v>
      </c>
      <c r="E497" s="340"/>
      <c r="F497" s="245"/>
      <c r="G497" s="246"/>
      <c r="H497" s="340">
        <v>0</v>
      </c>
      <c r="I497" s="245">
        <f t="shared" si="52"/>
        <v>0</v>
      </c>
      <c r="J497" s="247">
        <v>0</v>
      </c>
      <c r="K497" s="245">
        <f t="shared" si="49"/>
        <v>0</v>
      </c>
      <c r="L497" s="262">
        <f t="shared" si="48"/>
        <v>0</v>
      </c>
      <c r="M497" s="245">
        <f t="shared" si="50"/>
        <v>0</v>
      </c>
      <c r="N497" s="247">
        <v>0</v>
      </c>
      <c r="O497" s="245">
        <f t="shared" si="51"/>
        <v>0</v>
      </c>
      <c r="P497" s="433" t="s">
        <v>1488</v>
      </c>
      <c r="Q497" s="433">
        <v>2019</v>
      </c>
    </row>
    <row r="498" spans="1:17" ht="30">
      <c r="A498" s="258">
        <v>490</v>
      </c>
      <c r="B498" s="252" t="s">
        <v>1989</v>
      </c>
      <c r="C498" s="248" t="s">
        <v>1990</v>
      </c>
      <c r="D498" s="339">
        <v>1.0169999999999999</v>
      </c>
      <c r="E498" s="340"/>
      <c r="F498" s="245"/>
      <c r="G498" s="246"/>
      <c r="H498" s="340">
        <v>0</v>
      </c>
      <c r="I498" s="245">
        <f t="shared" si="52"/>
        <v>0</v>
      </c>
      <c r="J498" s="247">
        <v>0</v>
      </c>
      <c r="K498" s="245">
        <f t="shared" si="49"/>
        <v>0</v>
      </c>
      <c r="L498" s="262">
        <f t="shared" si="48"/>
        <v>0</v>
      </c>
      <c r="M498" s="245">
        <f t="shared" si="50"/>
        <v>0</v>
      </c>
      <c r="N498" s="247">
        <v>0</v>
      </c>
      <c r="O498" s="245">
        <f t="shared" si="51"/>
        <v>0</v>
      </c>
      <c r="P498" s="433" t="s">
        <v>1488</v>
      </c>
      <c r="Q498" s="433">
        <v>2019</v>
      </c>
    </row>
    <row r="499" spans="1:17">
      <c r="A499" s="258">
        <v>491</v>
      </c>
      <c r="B499" s="252" t="s">
        <v>1991</v>
      </c>
      <c r="C499" s="248" t="s">
        <v>1992</v>
      </c>
      <c r="D499" s="339">
        <v>20.628</v>
      </c>
      <c r="E499" s="340"/>
      <c r="F499" s="245"/>
      <c r="G499" s="246"/>
      <c r="H499" s="340">
        <v>0</v>
      </c>
      <c r="I499" s="245">
        <f t="shared" si="52"/>
        <v>0</v>
      </c>
      <c r="J499" s="247">
        <v>0</v>
      </c>
      <c r="K499" s="245">
        <f t="shared" si="49"/>
        <v>0</v>
      </c>
      <c r="L499" s="262">
        <f t="shared" si="48"/>
        <v>0</v>
      </c>
      <c r="M499" s="245">
        <f t="shared" si="50"/>
        <v>0</v>
      </c>
      <c r="N499" s="247">
        <v>0</v>
      </c>
      <c r="O499" s="245">
        <f t="shared" si="51"/>
        <v>0</v>
      </c>
      <c r="P499" s="433" t="s">
        <v>1488</v>
      </c>
      <c r="Q499" s="433">
        <v>2019</v>
      </c>
    </row>
    <row r="500" spans="1:17" ht="30">
      <c r="A500" s="258">
        <v>492</v>
      </c>
      <c r="B500" s="252" t="s">
        <v>1993</v>
      </c>
      <c r="C500" s="248" t="s">
        <v>1994</v>
      </c>
      <c r="D500" s="339">
        <v>23.17</v>
      </c>
      <c r="E500" s="340"/>
      <c r="F500" s="245"/>
      <c r="G500" s="246"/>
      <c r="H500" s="340">
        <v>0</v>
      </c>
      <c r="I500" s="245">
        <f t="shared" si="52"/>
        <v>0</v>
      </c>
      <c r="J500" s="247">
        <v>0</v>
      </c>
      <c r="K500" s="245">
        <f t="shared" si="49"/>
        <v>0</v>
      </c>
      <c r="L500" s="262">
        <f t="shared" si="48"/>
        <v>0</v>
      </c>
      <c r="M500" s="245">
        <f t="shared" si="50"/>
        <v>0</v>
      </c>
      <c r="N500" s="247">
        <v>0</v>
      </c>
      <c r="O500" s="245">
        <f t="shared" si="51"/>
        <v>0</v>
      </c>
      <c r="P500" s="433" t="s">
        <v>1488</v>
      </c>
      <c r="Q500" s="433">
        <v>2019</v>
      </c>
    </row>
    <row r="501" spans="1:17" ht="45">
      <c r="A501" s="258">
        <v>493</v>
      </c>
      <c r="B501" s="252" t="s">
        <v>1995</v>
      </c>
      <c r="C501" s="248" t="s">
        <v>1996</v>
      </c>
      <c r="D501" s="339">
        <v>12.968999999999999</v>
      </c>
      <c r="E501" s="340"/>
      <c r="F501" s="245"/>
      <c r="G501" s="246"/>
      <c r="H501" s="340">
        <v>3.58</v>
      </c>
      <c r="I501" s="245">
        <f t="shared" si="52"/>
        <v>0.27604287146271883</v>
      </c>
      <c r="J501" s="247">
        <v>0</v>
      </c>
      <c r="K501" s="245">
        <f t="shared" si="49"/>
        <v>0</v>
      </c>
      <c r="L501" s="262">
        <f t="shared" si="48"/>
        <v>0</v>
      </c>
      <c r="M501" s="245">
        <f t="shared" si="50"/>
        <v>0</v>
      </c>
      <c r="N501" s="247">
        <v>0</v>
      </c>
      <c r="O501" s="245">
        <f t="shared" si="51"/>
        <v>0</v>
      </c>
      <c r="P501" s="433" t="s">
        <v>1488</v>
      </c>
      <c r="Q501" s="433">
        <v>2019</v>
      </c>
    </row>
    <row r="502" spans="1:17" ht="30">
      <c r="A502" s="258">
        <v>494</v>
      </c>
      <c r="B502" s="252" t="s">
        <v>1997</v>
      </c>
      <c r="C502" s="248" t="s">
        <v>1998</v>
      </c>
      <c r="D502" s="339">
        <v>4.9459999999999997</v>
      </c>
      <c r="E502" s="340"/>
      <c r="F502" s="245"/>
      <c r="G502" s="246"/>
      <c r="H502" s="340"/>
      <c r="I502" s="245"/>
      <c r="J502" s="247">
        <v>0</v>
      </c>
      <c r="K502" s="245">
        <f t="shared" si="49"/>
        <v>0</v>
      </c>
      <c r="L502" s="262">
        <f t="shared" si="48"/>
        <v>0</v>
      </c>
      <c r="M502" s="245">
        <f t="shared" si="50"/>
        <v>0</v>
      </c>
      <c r="N502" s="247">
        <v>0</v>
      </c>
      <c r="O502" s="245">
        <f t="shared" si="51"/>
        <v>0</v>
      </c>
      <c r="P502" s="433" t="s">
        <v>1488</v>
      </c>
      <c r="Q502" s="433">
        <v>2019</v>
      </c>
    </row>
    <row r="503" spans="1:17" ht="30">
      <c r="A503" s="258">
        <v>495</v>
      </c>
      <c r="B503" s="252" t="s">
        <v>1999</v>
      </c>
      <c r="C503" s="248" t="s">
        <v>2000</v>
      </c>
      <c r="D503" s="339">
        <v>3.6</v>
      </c>
      <c r="E503" s="340"/>
      <c r="F503" s="245"/>
      <c r="G503" s="246"/>
      <c r="H503" s="340">
        <v>0</v>
      </c>
      <c r="I503" s="245">
        <f t="shared" si="52"/>
        <v>0</v>
      </c>
      <c r="J503" s="247">
        <v>0</v>
      </c>
      <c r="K503" s="245">
        <f t="shared" si="49"/>
        <v>0</v>
      </c>
      <c r="L503" s="262">
        <f t="shared" si="48"/>
        <v>0</v>
      </c>
      <c r="M503" s="245">
        <f t="shared" si="50"/>
        <v>0</v>
      </c>
      <c r="N503" s="247">
        <v>0</v>
      </c>
      <c r="O503" s="245">
        <f t="shared" si="51"/>
        <v>0</v>
      </c>
      <c r="P503" s="433" t="s">
        <v>1488</v>
      </c>
      <c r="Q503" s="433">
        <v>2019</v>
      </c>
    </row>
    <row r="504" spans="1:17" ht="30">
      <c r="A504" s="258">
        <v>496</v>
      </c>
      <c r="B504" s="252" t="s">
        <v>2001</v>
      </c>
      <c r="C504" s="248" t="s">
        <v>2002</v>
      </c>
      <c r="D504" s="339">
        <v>34.805</v>
      </c>
      <c r="E504" s="340"/>
      <c r="F504" s="245"/>
      <c r="G504" s="246"/>
      <c r="H504" s="340"/>
      <c r="I504" s="245"/>
      <c r="J504" s="247">
        <v>0</v>
      </c>
      <c r="K504" s="245">
        <f t="shared" si="49"/>
        <v>0</v>
      </c>
      <c r="L504" s="262">
        <f t="shared" si="48"/>
        <v>0</v>
      </c>
      <c r="M504" s="245">
        <f t="shared" si="50"/>
        <v>0</v>
      </c>
      <c r="N504" s="247">
        <v>0</v>
      </c>
      <c r="O504" s="245">
        <f t="shared" si="51"/>
        <v>0</v>
      </c>
      <c r="P504" s="433" t="s">
        <v>1488</v>
      </c>
      <c r="Q504" s="433">
        <v>2019</v>
      </c>
    </row>
    <row r="505" spans="1:17" ht="30">
      <c r="A505" s="258">
        <v>497</v>
      </c>
      <c r="B505" s="252" t="s">
        <v>2003</v>
      </c>
      <c r="C505" s="248" t="s">
        <v>2004</v>
      </c>
      <c r="D505" s="339">
        <v>9.4</v>
      </c>
      <c r="E505" s="340"/>
      <c r="F505" s="245"/>
      <c r="G505" s="246"/>
      <c r="H505" s="340">
        <v>0</v>
      </c>
      <c r="I505" s="245">
        <f t="shared" si="52"/>
        <v>0</v>
      </c>
      <c r="J505" s="247">
        <v>0</v>
      </c>
      <c r="K505" s="245">
        <f t="shared" si="49"/>
        <v>0</v>
      </c>
      <c r="L505" s="262">
        <f t="shared" si="48"/>
        <v>0</v>
      </c>
      <c r="M505" s="245">
        <f t="shared" si="50"/>
        <v>0</v>
      </c>
      <c r="N505" s="247">
        <v>0</v>
      </c>
      <c r="O505" s="245">
        <f t="shared" si="51"/>
        <v>0</v>
      </c>
      <c r="P505" s="433" t="s">
        <v>1488</v>
      </c>
      <c r="Q505" s="433">
        <v>2019</v>
      </c>
    </row>
    <row r="506" spans="1:17" ht="60">
      <c r="A506" s="258">
        <v>498</v>
      </c>
      <c r="B506" s="252" t="s">
        <v>2005</v>
      </c>
      <c r="C506" s="248" t="s">
        <v>2006</v>
      </c>
      <c r="D506" s="339">
        <v>13.666</v>
      </c>
      <c r="E506" s="340"/>
      <c r="F506" s="245"/>
      <c r="G506" s="246"/>
      <c r="H506" s="340"/>
      <c r="I506" s="245"/>
      <c r="J506" s="247">
        <v>0</v>
      </c>
      <c r="K506" s="245">
        <f t="shared" si="49"/>
        <v>0</v>
      </c>
      <c r="L506" s="262">
        <f t="shared" si="48"/>
        <v>0</v>
      </c>
      <c r="M506" s="245">
        <f t="shared" si="50"/>
        <v>0</v>
      </c>
      <c r="N506" s="247">
        <v>0</v>
      </c>
      <c r="O506" s="245">
        <f t="shared" si="51"/>
        <v>0</v>
      </c>
      <c r="P506" s="433" t="s">
        <v>1488</v>
      </c>
      <c r="Q506" s="433">
        <v>2019</v>
      </c>
    </row>
    <row r="507" spans="1:17" ht="30">
      <c r="A507" s="258">
        <v>499</v>
      </c>
      <c r="B507" s="252" t="s">
        <v>2007</v>
      </c>
      <c r="C507" s="248" t="s">
        <v>2008</v>
      </c>
      <c r="D507" s="339">
        <v>2.9529999999999998</v>
      </c>
      <c r="E507" s="340"/>
      <c r="F507" s="245"/>
      <c r="G507" s="246"/>
      <c r="H507" s="340">
        <v>0</v>
      </c>
      <c r="I507" s="245">
        <f t="shared" si="52"/>
        <v>0</v>
      </c>
      <c r="J507" s="247">
        <v>0</v>
      </c>
      <c r="K507" s="245">
        <f t="shared" si="49"/>
        <v>0</v>
      </c>
      <c r="L507" s="262">
        <f t="shared" si="48"/>
        <v>0</v>
      </c>
      <c r="M507" s="245">
        <f t="shared" si="50"/>
        <v>0</v>
      </c>
      <c r="N507" s="247">
        <v>0</v>
      </c>
      <c r="O507" s="245">
        <f t="shared" ref="O507:O518" si="53">N507/D507</f>
        <v>0</v>
      </c>
      <c r="P507" s="433" t="s">
        <v>1488</v>
      </c>
      <c r="Q507" s="433">
        <v>2019</v>
      </c>
    </row>
    <row r="508" spans="1:17" ht="45">
      <c r="A508" s="258">
        <v>500</v>
      </c>
      <c r="B508" s="252" t="s">
        <v>979</v>
      </c>
      <c r="C508" s="248" t="s">
        <v>980</v>
      </c>
      <c r="D508" s="339">
        <v>27.94</v>
      </c>
      <c r="E508" s="340"/>
      <c r="F508" s="245"/>
      <c r="G508" s="246"/>
      <c r="H508" s="340"/>
      <c r="I508" s="245"/>
      <c r="J508" s="247">
        <v>0</v>
      </c>
      <c r="K508" s="245">
        <f t="shared" si="49"/>
        <v>0</v>
      </c>
      <c r="L508" s="262">
        <f t="shared" si="48"/>
        <v>0</v>
      </c>
      <c r="M508" s="245">
        <f t="shared" si="50"/>
        <v>0</v>
      </c>
      <c r="N508" s="247">
        <v>0</v>
      </c>
      <c r="O508" s="245">
        <f t="shared" si="53"/>
        <v>0</v>
      </c>
      <c r="P508" s="433" t="s">
        <v>1488</v>
      </c>
      <c r="Q508" s="433">
        <v>2019</v>
      </c>
    </row>
    <row r="509" spans="1:17" ht="45">
      <c r="A509" s="258">
        <v>501</v>
      </c>
      <c r="B509" s="252" t="s">
        <v>2009</v>
      </c>
      <c r="C509" s="248" t="s">
        <v>2010</v>
      </c>
      <c r="D509" s="339">
        <v>2.92</v>
      </c>
      <c r="E509" s="340"/>
      <c r="F509" s="245"/>
      <c r="G509" s="246"/>
      <c r="H509" s="339">
        <v>2.92</v>
      </c>
      <c r="I509" s="245">
        <f t="shared" si="52"/>
        <v>1</v>
      </c>
      <c r="J509" s="247">
        <v>0</v>
      </c>
      <c r="K509" s="245">
        <f t="shared" si="49"/>
        <v>0</v>
      </c>
      <c r="L509" s="262">
        <f t="shared" si="48"/>
        <v>0</v>
      </c>
      <c r="M509" s="245">
        <f t="shared" si="50"/>
        <v>0</v>
      </c>
      <c r="N509" s="247">
        <v>0</v>
      </c>
      <c r="O509" s="245">
        <f t="shared" si="53"/>
        <v>0</v>
      </c>
      <c r="P509" s="433" t="s">
        <v>1488</v>
      </c>
      <c r="Q509" s="433">
        <v>2019</v>
      </c>
    </row>
    <row r="510" spans="1:17">
      <c r="A510" s="258">
        <v>502</v>
      </c>
      <c r="B510" s="252" t="s">
        <v>2011</v>
      </c>
      <c r="C510" s="248" t="s">
        <v>2012</v>
      </c>
      <c r="D510" s="339">
        <v>2.5</v>
      </c>
      <c r="E510" s="340"/>
      <c r="F510" s="245"/>
      <c r="G510" s="246"/>
      <c r="H510" s="340">
        <v>0</v>
      </c>
      <c r="I510" s="245">
        <f t="shared" si="52"/>
        <v>0</v>
      </c>
      <c r="J510" s="247">
        <v>0</v>
      </c>
      <c r="K510" s="245">
        <f t="shared" si="49"/>
        <v>0</v>
      </c>
      <c r="L510" s="262">
        <f t="shared" ref="L510:L517" si="54">J510</f>
        <v>0</v>
      </c>
      <c r="M510" s="245">
        <f t="shared" si="50"/>
        <v>0</v>
      </c>
      <c r="N510" s="247">
        <v>0</v>
      </c>
      <c r="O510" s="245">
        <f t="shared" si="53"/>
        <v>0</v>
      </c>
      <c r="P510" s="433" t="s">
        <v>1488</v>
      </c>
      <c r="Q510" s="433">
        <v>2019</v>
      </c>
    </row>
    <row r="511" spans="1:17" ht="60">
      <c r="A511" s="258">
        <v>503</v>
      </c>
      <c r="B511" s="252" t="s">
        <v>2013</v>
      </c>
      <c r="C511" s="248" t="s">
        <v>2014</v>
      </c>
      <c r="D511" s="339">
        <v>3.14</v>
      </c>
      <c r="E511" s="340"/>
      <c r="F511" s="245"/>
      <c r="G511" s="246"/>
      <c r="H511" s="340">
        <v>3.14</v>
      </c>
      <c r="I511" s="245">
        <f t="shared" si="52"/>
        <v>1</v>
      </c>
      <c r="J511" s="247">
        <v>0</v>
      </c>
      <c r="K511" s="245">
        <f t="shared" si="49"/>
        <v>0</v>
      </c>
      <c r="L511" s="262">
        <f t="shared" si="54"/>
        <v>0</v>
      </c>
      <c r="M511" s="245">
        <f t="shared" si="50"/>
        <v>0</v>
      </c>
      <c r="N511" s="247">
        <v>0</v>
      </c>
      <c r="O511" s="245">
        <f t="shared" si="53"/>
        <v>0</v>
      </c>
      <c r="P511" s="433" t="s">
        <v>1488</v>
      </c>
      <c r="Q511" s="433">
        <v>2019</v>
      </c>
    </row>
    <row r="512" spans="1:17" ht="60">
      <c r="A512" s="258">
        <v>504</v>
      </c>
      <c r="B512" s="252" t="s">
        <v>2015</v>
      </c>
      <c r="C512" s="248" t="s">
        <v>2016</v>
      </c>
      <c r="D512" s="339">
        <v>41.17</v>
      </c>
      <c r="E512" s="340"/>
      <c r="F512" s="245"/>
      <c r="G512" s="246"/>
      <c r="H512" s="340">
        <v>28</v>
      </c>
      <c r="I512" s="245">
        <f t="shared" si="52"/>
        <v>0.68010687393733293</v>
      </c>
      <c r="J512" s="247">
        <v>0</v>
      </c>
      <c r="K512" s="245">
        <f t="shared" si="49"/>
        <v>0</v>
      </c>
      <c r="L512" s="262">
        <f t="shared" si="54"/>
        <v>0</v>
      </c>
      <c r="M512" s="245">
        <f t="shared" si="50"/>
        <v>0</v>
      </c>
      <c r="N512" s="247">
        <v>0</v>
      </c>
      <c r="O512" s="245">
        <f t="shared" si="53"/>
        <v>0</v>
      </c>
      <c r="P512" s="433" t="s">
        <v>1488</v>
      </c>
      <c r="Q512" s="433">
        <v>2019</v>
      </c>
    </row>
    <row r="513" spans="1:17" ht="75">
      <c r="A513" s="258">
        <v>505</v>
      </c>
      <c r="B513" s="252" t="s">
        <v>2017</v>
      </c>
      <c r="C513" s="248" t="s">
        <v>2018</v>
      </c>
      <c r="D513" s="339">
        <v>1.17</v>
      </c>
      <c r="E513" s="340"/>
      <c r="F513" s="245"/>
      <c r="G513" s="246"/>
      <c r="H513" s="340">
        <v>0</v>
      </c>
      <c r="I513" s="245">
        <f t="shared" si="52"/>
        <v>0</v>
      </c>
      <c r="J513" s="247">
        <v>0</v>
      </c>
      <c r="K513" s="245">
        <f t="shared" si="49"/>
        <v>0</v>
      </c>
      <c r="L513" s="262">
        <f t="shared" si="54"/>
        <v>0</v>
      </c>
      <c r="M513" s="245">
        <f t="shared" si="50"/>
        <v>0</v>
      </c>
      <c r="N513" s="247">
        <v>0</v>
      </c>
      <c r="O513" s="245">
        <f t="shared" si="53"/>
        <v>0</v>
      </c>
      <c r="P513" s="433" t="s">
        <v>1488</v>
      </c>
      <c r="Q513" s="433">
        <v>2019</v>
      </c>
    </row>
    <row r="514" spans="1:17" ht="75">
      <c r="A514" s="258">
        <v>506</v>
      </c>
      <c r="B514" s="252" t="s">
        <v>2019</v>
      </c>
      <c r="C514" s="248" t="s">
        <v>2020</v>
      </c>
      <c r="D514" s="339">
        <v>8.16</v>
      </c>
      <c r="E514" s="340"/>
      <c r="F514" s="245"/>
      <c r="G514" s="246"/>
      <c r="H514" s="340">
        <v>0</v>
      </c>
      <c r="I514" s="245">
        <f t="shared" si="52"/>
        <v>0</v>
      </c>
      <c r="J514" s="247">
        <v>0</v>
      </c>
      <c r="K514" s="245">
        <f t="shared" si="49"/>
        <v>0</v>
      </c>
      <c r="L514" s="262">
        <f t="shared" si="54"/>
        <v>0</v>
      </c>
      <c r="M514" s="245">
        <f t="shared" si="50"/>
        <v>0</v>
      </c>
      <c r="N514" s="247">
        <v>0</v>
      </c>
      <c r="O514" s="245">
        <f t="shared" si="53"/>
        <v>0</v>
      </c>
      <c r="P514" s="433" t="s">
        <v>1488</v>
      </c>
      <c r="Q514" s="433">
        <v>2019</v>
      </c>
    </row>
    <row r="515" spans="1:17" ht="75">
      <c r="A515" s="258">
        <v>507</v>
      </c>
      <c r="B515" s="252" t="s">
        <v>2021</v>
      </c>
      <c r="C515" s="248" t="s">
        <v>2022</v>
      </c>
      <c r="D515" s="339">
        <v>1.93</v>
      </c>
      <c r="E515" s="340"/>
      <c r="F515" s="245"/>
      <c r="G515" s="246"/>
      <c r="H515" s="340">
        <v>0</v>
      </c>
      <c r="I515" s="245">
        <f t="shared" si="52"/>
        <v>0</v>
      </c>
      <c r="J515" s="247">
        <v>0</v>
      </c>
      <c r="K515" s="245">
        <f t="shared" si="49"/>
        <v>0</v>
      </c>
      <c r="L515" s="262">
        <f t="shared" si="54"/>
        <v>0</v>
      </c>
      <c r="M515" s="245">
        <f t="shared" si="50"/>
        <v>0</v>
      </c>
      <c r="N515" s="247">
        <v>0</v>
      </c>
      <c r="O515" s="245">
        <f t="shared" si="53"/>
        <v>0</v>
      </c>
      <c r="P515" s="433" t="s">
        <v>1488</v>
      </c>
      <c r="Q515" s="433">
        <v>2019</v>
      </c>
    </row>
    <row r="516" spans="1:17" ht="30">
      <c r="A516" s="258">
        <v>508</v>
      </c>
      <c r="B516" s="252" t="s">
        <v>2023</v>
      </c>
      <c r="C516" s="248" t="s">
        <v>2024</v>
      </c>
      <c r="D516" s="339">
        <v>0.6</v>
      </c>
      <c r="E516" s="340"/>
      <c r="F516" s="245"/>
      <c r="G516" s="246"/>
      <c r="H516" s="340">
        <v>0.6</v>
      </c>
      <c r="I516" s="245">
        <f t="shared" si="52"/>
        <v>1</v>
      </c>
      <c r="J516" s="247">
        <v>0</v>
      </c>
      <c r="K516" s="245">
        <f t="shared" si="49"/>
        <v>0</v>
      </c>
      <c r="L516" s="262">
        <f t="shared" si="54"/>
        <v>0</v>
      </c>
      <c r="M516" s="245">
        <f t="shared" si="50"/>
        <v>0</v>
      </c>
      <c r="N516" s="247">
        <v>0</v>
      </c>
      <c r="O516" s="245">
        <f t="shared" si="53"/>
        <v>0</v>
      </c>
      <c r="P516" s="433" t="s">
        <v>1488</v>
      </c>
      <c r="Q516" s="433">
        <v>2019</v>
      </c>
    </row>
    <row r="517" spans="1:17" ht="30">
      <c r="A517" s="258">
        <v>509</v>
      </c>
      <c r="B517" s="252" t="s">
        <v>2025</v>
      </c>
      <c r="C517" s="248" t="s">
        <v>2026</v>
      </c>
      <c r="D517" s="339">
        <v>4.57</v>
      </c>
      <c r="E517" s="340"/>
      <c r="F517" s="245"/>
      <c r="G517" s="246"/>
      <c r="H517" s="339">
        <v>4.57</v>
      </c>
      <c r="I517" s="245">
        <f t="shared" si="52"/>
        <v>1</v>
      </c>
      <c r="J517" s="247">
        <v>0</v>
      </c>
      <c r="K517" s="245">
        <f t="shared" si="49"/>
        <v>0</v>
      </c>
      <c r="L517" s="262">
        <f t="shared" si="54"/>
        <v>0</v>
      </c>
      <c r="M517" s="245">
        <f t="shared" si="50"/>
        <v>0</v>
      </c>
      <c r="N517" s="247">
        <v>0</v>
      </c>
      <c r="O517" s="245">
        <f t="shared" si="53"/>
        <v>0</v>
      </c>
      <c r="P517" s="433" t="s">
        <v>1488</v>
      </c>
      <c r="Q517" s="433">
        <v>2019</v>
      </c>
    </row>
    <row r="518" spans="1:17" ht="30">
      <c r="A518" s="258">
        <v>510</v>
      </c>
      <c r="B518" s="252" t="s">
        <v>2027</v>
      </c>
      <c r="C518" s="253" t="s">
        <v>2028</v>
      </c>
      <c r="D518" s="247">
        <v>324.327</v>
      </c>
      <c r="E518" s="340"/>
      <c r="F518" s="245"/>
      <c r="G518" s="246"/>
      <c r="H518" s="339">
        <v>0</v>
      </c>
      <c r="I518" s="245">
        <f>H518/D518</f>
        <v>0</v>
      </c>
      <c r="J518" s="247">
        <v>228.3</v>
      </c>
      <c r="K518" s="245">
        <f t="shared" si="49"/>
        <v>0.70391919266666059</v>
      </c>
      <c r="L518" s="262">
        <v>245.57</v>
      </c>
      <c r="M518" s="245">
        <f t="shared" si="50"/>
        <v>0.75716792003132638</v>
      </c>
      <c r="N518" s="247">
        <v>0</v>
      </c>
      <c r="O518" s="245">
        <f t="shared" si="53"/>
        <v>0</v>
      </c>
      <c r="P518" s="433" t="s">
        <v>1488</v>
      </c>
      <c r="Q518" s="433">
        <v>2019</v>
      </c>
    </row>
    <row r="519" spans="1:17">
      <c r="A519" s="433"/>
      <c r="B519" s="252"/>
      <c r="C519" s="253"/>
      <c r="D519" s="339"/>
      <c r="E519" s="340"/>
      <c r="F519" s="245"/>
      <c r="G519" s="246"/>
      <c r="H519" s="339"/>
      <c r="I519" s="245"/>
      <c r="J519" s="339"/>
      <c r="K519" s="245"/>
      <c r="L519" s="247"/>
      <c r="M519" s="245"/>
      <c r="N519" s="247"/>
      <c r="O519" s="245"/>
      <c r="P519" s="433"/>
      <c r="Q519" s="433"/>
    </row>
    <row r="520" spans="1:17" ht="25.5" customHeight="1">
      <c r="A520" s="1481" t="s">
        <v>1312</v>
      </c>
      <c r="B520" s="1481"/>
      <c r="C520" s="1481"/>
      <c r="D520" s="696">
        <f>SUM(D9:D519)</f>
        <v>7211.6149999999898</v>
      </c>
      <c r="E520" s="696">
        <f>SUM(E9:E519)</f>
        <v>159.07679999999999</v>
      </c>
      <c r="F520" s="697">
        <f>E520/D520</f>
        <v>2.2058415486683663E-2</v>
      </c>
      <c r="G520" s="698"/>
      <c r="H520" s="696">
        <f>SUM(H9:H519)</f>
        <v>522.49600000000009</v>
      </c>
      <c r="I520" s="697">
        <f>H520/D520</f>
        <v>7.2452009709337073E-2</v>
      </c>
      <c r="J520" s="696">
        <f>SUM(J9:J519)</f>
        <v>968.45799999999986</v>
      </c>
      <c r="K520" s="697">
        <f>J520/D520</f>
        <v>0.1342914173870903</v>
      </c>
      <c r="L520" s="696">
        <f>SUM(L9:L519)</f>
        <v>1235.3800000000001</v>
      </c>
      <c r="M520" s="697">
        <f>L520/D520</f>
        <v>0.1713042085580001</v>
      </c>
      <c r="N520" s="696">
        <f>SUM(N9:N519)</f>
        <v>1794.3670000000004</v>
      </c>
      <c r="O520" s="697">
        <f>N520/D520</f>
        <v>0.24881624989686818</v>
      </c>
      <c r="P520" s="698"/>
      <c r="Q520" s="698"/>
    </row>
  </sheetData>
  <mergeCells count="15">
    <mergeCell ref="A8:Q8"/>
    <mergeCell ref="A520:C520"/>
    <mergeCell ref="A1:Q1"/>
    <mergeCell ref="A2:A6"/>
    <mergeCell ref="B2:B6"/>
    <mergeCell ref="C2:C6"/>
    <mergeCell ref="D2:D6"/>
    <mergeCell ref="E2:O2"/>
    <mergeCell ref="P2:Q5"/>
    <mergeCell ref="E3:I3"/>
    <mergeCell ref="J3:K5"/>
    <mergeCell ref="L3:M5"/>
    <mergeCell ref="N3:O5"/>
    <mergeCell ref="E4:G5"/>
    <mergeCell ref="H4:I5"/>
  </mergeCells>
  <pageMargins left="0.70866141732283472" right="0.70866141732283472" top="0.74803149606299213" bottom="0.74803149606299213" header="0.31496062992125984" footer="0.31496062992125984"/>
  <pageSetup paperSize="9" scale="61" orientation="landscape" r:id="rId1"/>
  <headerFooter>
    <oddHeader>&amp;C&amp;P</oddHeader>
  </headerFooter>
</worksheet>
</file>

<file path=xl/worksheets/sheet7.xml><?xml version="1.0" encoding="utf-8"?>
<worksheet xmlns="http://schemas.openxmlformats.org/spreadsheetml/2006/main" xmlns:r="http://schemas.openxmlformats.org/officeDocument/2006/relationships">
  <dimension ref="A1:S368"/>
  <sheetViews>
    <sheetView view="pageBreakPreview" topLeftCell="A359" zoomScale="85" zoomScaleNormal="100" zoomScaleSheetLayoutView="85" zoomScalePageLayoutView="55" workbookViewId="0">
      <selection activeCell="M367" sqref="M367"/>
    </sheetView>
  </sheetViews>
  <sheetFormatPr defaultRowHeight="15"/>
  <cols>
    <col min="1" max="1" width="8.28515625" customWidth="1"/>
    <col min="2" max="2" width="11.28515625" customWidth="1"/>
    <col min="3" max="3" width="45.5703125" customWidth="1"/>
    <col min="4" max="4" width="25.5703125" customWidth="1"/>
    <col min="5" max="5" width="11.28515625" style="296" customWidth="1"/>
    <col min="6" max="6" width="13" style="296" customWidth="1"/>
    <col min="7" max="8" width="11.42578125" style="296" customWidth="1"/>
    <col min="9" max="9" width="9.7109375" style="296" customWidth="1"/>
    <col min="10" max="10" width="11.28515625" customWidth="1"/>
    <col min="11" max="11" width="14.7109375" customWidth="1"/>
    <col min="12" max="12" width="9.7109375" style="296" customWidth="1"/>
    <col min="13" max="13" width="10.7109375" customWidth="1"/>
    <col min="14" max="14" width="9.5703125" style="296" customWidth="1"/>
    <col min="15" max="15" width="10.42578125" customWidth="1"/>
    <col min="16" max="16" width="10.28515625" style="296" customWidth="1"/>
    <col min="17" max="17" width="9.85546875" customWidth="1"/>
    <col min="18" max="18" width="11.140625" customWidth="1"/>
    <col min="19" max="19" width="8.140625" customWidth="1"/>
    <col min="20" max="21" width="20" customWidth="1"/>
  </cols>
  <sheetData>
    <row r="1" spans="1:19" ht="57.75" customHeight="1">
      <c r="A1" s="1487" t="s">
        <v>3268</v>
      </c>
      <c r="B1" s="1487"/>
      <c r="C1" s="1487"/>
      <c r="D1" s="1487"/>
      <c r="E1" s="1487"/>
      <c r="F1" s="1487"/>
      <c r="G1" s="1487"/>
      <c r="H1" s="1487"/>
      <c r="I1" s="1487"/>
      <c r="J1" s="1487"/>
      <c r="K1" s="1487"/>
      <c r="L1" s="1487"/>
      <c r="M1" s="1487"/>
      <c r="N1" s="1487"/>
      <c r="O1" s="1487"/>
      <c r="P1" s="1487"/>
      <c r="Q1" s="1487"/>
      <c r="R1" s="1487"/>
      <c r="S1" s="1487"/>
    </row>
    <row r="2" spans="1:19" ht="19.5" customHeight="1">
      <c r="A2" s="1488" t="s">
        <v>1</v>
      </c>
      <c r="B2" s="1489" t="s">
        <v>2</v>
      </c>
      <c r="C2" s="1489" t="s">
        <v>3</v>
      </c>
      <c r="D2" s="1489" t="s">
        <v>2621</v>
      </c>
      <c r="E2" s="1490" t="s">
        <v>1468</v>
      </c>
      <c r="F2" s="1490"/>
      <c r="G2" s="1490" t="s">
        <v>2679</v>
      </c>
      <c r="H2" s="1490"/>
      <c r="I2" s="1491" t="s">
        <v>1469</v>
      </c>
      <c r="J2" s="1491"/>
      <c r="K2" s="1491"/>
      <c r="L2" s="1491"/>
      <c r="M2" s="1491"/>
      <c r="N2" s="1491"/>
      <c r="O2" s="1491"/>
      <c r="P2" s="1491"/>
      <c r="Q2" s="1491"/>
      <c r="R2" s="1489" t="s">
        <v>1470</v>
      </c>
      <c r="S2" s="1489"/>
    </row>
    <row r="3" spans="1:19" ht="19.5">
      <c r="A3" s="1488"/>
      <c r="B3" s="1489"/>
      <c r="C3" s="1489"/>
      <c r="D3" s="1489"/>
      <c r="E3" s="1490"/>
      <c r="F3" s="1490"/>
      <c r="G3" s="1490"/>
      <c r="H3" s="1490"/>
      <c r="I3" s="1491" t="s">
        <v>1471</v>
      </c>
      <c r="J3" s="1491"/>
      <c r="K3" s="1491"/>
      <c r="L3" s="1491"/>
      <c r="M3" s="1491"/>
      <c r="N3" s="1491" t="s">
        <v>1472</v>
      </c>
      <c r="O3" s="1491"/>
      <c r="P3" s="1491" t="s">
        <v>1474</v>
      </c>
      <c r="Q3" s="1491"/>
      <c r="R3" s="1489"/>
      <c r="S3" s="1489"/>
    </row>
    <row r="4" spans="1:19" ht="25.5" customHeight="1">
      <c r="A4" s="1488"/>
      <c r="B4" s="1489"/>
      <c r="C4" s="1489"/>
      <c r="D4" s="1489"/>
      <c r="E4" s="1490"/>
      <c r="F4" s="1490"/>
      <c r="G4" s="1490"/>
      <c r="H4" s="1490"/>
      <c r="I4" s="1491" t="s">
        <v>1475</v>
      </c>
      <c r="J4" s="1491"/>
      <c r="K4" s="1491"/>
      <c r="L4" s="1491" t="s">
        <v>1476</v>
      </c>
      <c r="M4" s="1491"/>
      <c r="N4" s="1491"/>
      <c r="O4" s="1491"/>
      <c r="P4" s="1491"/>
      <c r="Q4" s="1491"/>
      <c r="R4" s="1489"/>
      <c r="S4" s="1489"/>
    </row>
    <row r="5" spans="1:19" ht="15" customHeight="1">
      <c r="A5" s="1488"/>
      <c r="B5" s="1489"/>
      <c r="C5" s="1489"/>
      <c r="D5" s="1489"/>
      <c r="E5" s="1490"/>
      <c r="F5" s="1490"/>
      <c r="G5" s="1490"/>
      <c r="H5" s="1490"/>
      <c r="I5" s="1491"/>
      <c r="J5" s="1491"/>
      <c r="K5" s="1491"/>
      <c r="L5" s="1491"/>
      <c r="M5" s="1491"/>
      <c r="N5" s="1491"/>
      <c r="O5" s="1491"/>
      <c r="P5" s="1491"/>
      <c r="Q5" s="1491"/>
      <c r="R5" s="1489"/>
      <c r="S5" s="1489"/>
    </row>
    <row r="6" spans="1:19" ht="54.75" customHeight="1">
      <c r="A6" s="1488"/>
      <c r="B6" s="1489"/>
      <c r="C6" s="1489"/>
      <c r="D6" s="1489"/>
      <c r="E6" s="494" t="s">
        <v>3494</v>
      </c>
      <c r="F6" s="494" t="s">
        <v>3269</v>
      </c>
      <c r="G6" s="490" t="s">
        <v>19</v>
      </c>
      <c r="H6" s="490" t="s">
        <v>20</v>
      </c>
      <c r="I6" s="491" t="s">
        <v>17</v>
      </c>
      <c r="J6" s="492" t="s">
        <v>1477</v>
      </c>
      <c r="K6" s="487" t="s">
        <v>1478</v>
      </c>
      <c r="L6" s="491" t="s">
        <v>17</v>
      </c>
      <c r="M6" s="492" t="s">
        <v>1477</v>
      </c>
      <c r="N6" s="491" t="s">
        <v>17</v>
      </c>
      <c r="O6" s="492" t="s">
        <v>1477</v>
      </c>
      <c r="P6" s="491" t="s">
        <v>17</v>
      </c>
      <c r="Q6" s="492" t="s">
        <v>1477</v>
      </c>
      <c r="R6" s="487" t="s">
        <v>1479</v>
      </c>
      <c r="S6" s="488" t="s">
        <v>1480</v>
      </c>
    </row>
    <row r="7" spans="1:19" ht="19.5">
      <c r="A7" s="493">
        <v>1</v>
      </c>
      <c r="B7" s="493">
        <v>2</v>
      </c>
      <c r="C7" s="493">
        <v>3</v>
      </c>
      <c r="D7" s="493">
        <v>4</v>
      </c>
      <c r="E7" s="493">
        <v>5</v>
      </c>
      <c r="F7" s="493">
        <v>6</v>
      </c>
      <c r="G7" s="493">
        <v>7</v>
      </c>
      <c r="H7" s="493">
        <v>8</v>
      </c>
      <c r="I7" s="493">
        <v>9</v>
      </c>
      <c r="J7" s="493">
        <v>10</v>
      </c>
      <c r="K7" s="493">
        <v>11</v>
      </c>
      <c r="L7" s="493">
        <v>12</v>
      </c>
      <c r="M7" s="493">
        <v>13</v>
      </c>
      <c r="N7" s="493">
        <v>14</v>
      </c>
      <c r="O7" s="493">
        <v>15</v>
      </c>
      <c r="P7" s="493">
        <v>16</v>
      </c>
      <c r="Q7" s="493">
        <v>17</v>
      </c>
      <c r="R7" s="493">
        <v>18</v>
      </c>
      <c r="S7" s="493">
        <v>19</v>
      </c>
    </row>
    <row r="8" spans="1:19" ht="27">
      <c r="A8" s="1495" t="s">
        <v>1277</v>
      </c>
      <c r="B8" s="1495"/>
      <c r="C8" s="1495"/>
      <c r="D8" s="1495"/>
      <c r="E8" s="1495"/>
      <c r="F8" s="1495"/>
      <c r="G8" s="1495"/>
      <c r="H8" s="1495"/>
      <c r="I8" s="1495"/>
      <c r="J8" s="1495"/>
      <c r="K8" s="1495"/>
      <c r="L8" s="1495"/>
      <c r="M8" s="1495"/>
      <c r="N8" s="1495"/>
      <c r="O8" s="1495"/>
      <c r="P8" s="1495"/>
      <c r="Q8" s="1495"/>
      <c r="R8" s="1495"/>
      <c r="S8" s="1495"/>
    </row>
    <row r="9" spans="1:19" ht="56.25">
      <c r="A9" s="457" t="s">
        <v>1431</v>
      </c>
      <c r="B9" s="91">
        <v>9789</v>
      </c>
      <c r="C9" s="428" t="s">
        <v>455</v>
      </c>
      <c r="D9" s="428" t="s">
        <v>3276</v>
      </c>
      <c r="E9" s="25">
        <v>391.6</v>
      </c>
      <c r="F9" s="25">
        <v>100.92</v>
      </c>
      <c r="G9" s="427" t="s">
        <v>3277</v>
      </c>
      <c r="H9" s="427" t="s">
        <v>3278</v>
      </c>
      <c r="I9" s="25">
        <v>100.92</v>
      </c>
      <c r="J9" s="458">
        <f>I9/F9</f>
        <v>1</v>
      </c>
      <c r="K9" s="431">
        <v>43359</v>
      </c>
      <c r="L9" s="25"/>
      <c r="M9" s="458"/>
      <c r="N9" s="25">
        <v>100.92</v>
      </c>
      <c r="O9" s="458">
        <f>N9/F9</f>
        <v>1</v>
      </c>
      <c r="P9" s="25">
        <v>100.92</v>
      </c>
      <c r="Q9" s="458">
        <f>O9</f>
        <v>1</v>
      </c>
      <c r="R9" s="432" t="s">
        <v>1488</v>
      </c>
      <c r="S9" s="432">
        <v>2019</v>
      </c>
    </row>
    <row r="10" spans="1:19" ht="56.25">
      <c r="A10" s="457" t="s">
        <v>2029</v>
      </c>
      <c r="B10" s="91">
        <v>89850</v>
      </c>
      <c r="C10" s="428" t="s">
        <v>456</v>
      </c>
      <c r="D10" s="428" t="s">
        <v>3276</v>
      </c>
      <c r="E10" s="25">
        <v>101.8</v>
      </c>
      <c r="F10" s="25">
        <v>50</v>
      </c>
      <c r="G10" s="427" t="s">
        <v>3279</v>
      </c>
      <c r="H10" s="427" t="s">
        <v>3280</v>
      </c>
      <c r="I10" s="25">
        <v>50</v>
      </c>
      <c r="J10" s="458">
        <f>I10/F10</f>
        <v>1</v>
      </c>
      <c r="K10" s="431">
        <v>43359</v>
      </c>
      <c r="L10" s="25"/>
      <c r="M10" s="458"/>
      <c r="N10" s="25">
        <v>50</v>
      </c>
      <c r="O10" s="458">
        <f>N10/F10</f>
        <v>1</v>
      </c>
      <c r="P10" s="25">
        <v>50</v>
      </c>
      <c r="Q10" s="458">
        <f>O10</f>
        <v>1</v>
      </c>
      <c r="R10" s="432" t="s">
        <v>1488</v>
      </c>
      <c r="S10" s="432">
        <v>2019</v>
      </c>
    </row>
    <row r="11" spans="1:19" ht="93.75">
      <c r="A11" s="457" t="s">
        <v>2030</v>
      </c>
      <c r="B11" s="91">
        <v>89804</v>
      </c>
      <c r="C11" s="428" t="s">
        <v>457</v>
      </c>
      <c r="D11" s="428" t="s">
        <v>3276</v>
      </c>
      <c r="E11" s="25">
        <v>223.7</v>
      </c>
      <c r="F11" s="25">
        <v>50</v>
      </c>
      <c r="G11" s="427" t="s">
        <v>3281</v>
      </c>
      <c r="H11" s="427" t="s">
        <v>3282</v>
      </c>
      <c r="I11" s="25">
        <v>50</v>
      </c>
      <c r="J11" s="458">
        <f>I11/F11</f>
        <v>1</v>
      </c>
      <c r="K11" s="431">
        <v>43359</v>
      </c>
      <c r="L11" s="25"/>
      <c r="M11" s="458"/>
      <c r="N11" s="25">
        <v>50</v>
      </c>
      <c r="O11" s="458">
        <f>N11/F11</f>
        <v>1</v>
      </c>
      <c r="P11" s="25">
        <v>50</v>
      </c>
      <c r="Q11" s="458">
        <f>O11</f>
        <v>1</v>
      </c>
      <c r="R11" s="432" t="s">
        <v>1488</v>
      </c>
      <c r="S11" s="432">
        <v>2019</v>
      </c>
    </row>
    <row r="12" spans="1:19" ht="18.75">
      <c r="A12" s="1496" t="s">
        <v>1312</v>
      </c>
      <c r="B12" s="1496"/>
      <c r="C12" s="1496"/>
      <c r="D12" s="462"/>
      <c r="E12" s="459">
        <f>SUM(E9:E11)</f>
        <v>717.1</v>
      </c>
      <c r="F12" s="459">
        <f t="shared" ref="F12:P12" si="0">SUM(F9:F11)</f>
        <v>200.92000000000002</v>
      </c>
      <c r="G12" s="459"/>
      <c r="H12" s="459"/>
      <c r="I12" s="459">
        <f t="shared" si="0"/>
        <v>200.92000000000002</v>
      </c>
      <c r="J12" s="460">
        <f>I12/F12</f>
        <v>1</v>
      </c>
      <c r="K12" s="461"/>
      <c r="L12" s="459">
        <f t="shared" si="0"/>
        <v>0</v>
      </c>
      <c r="M12" s="460">
        <f>J12</f>
        <v>1</v>
      </c>
      <c r="N12" s="459">
        <f t="shared" si="0"/>
        <v>200.92000000000002</v>
      </c>
      <c r="O12" s="460">
        <f>M12</f>
        <v>1</v>
      </c>
      <c r="P12" s="459">
        <f t="shared" si="0"/>
        <v>200.92000000000002</v>
      </c>
      <c r="Q12" s="460">
        <f>O12</f>
        <v>1</v>
      </c>
      <c r="R12" s="462"/>
      <c r="S12" s="463"/>
    </row>
    <row r="13" spans="1:19" ht="27">
      <c r="A13" s="1492" t="s">
        <v>1279</v>
      </c>
      <c r="B13" s="1492"/>
      <c r="C13" s="1492"/>
      <c r="D13" s="1492"/>
      <c r="E13" s="1492"/>
      <c r="F13" s="1492"/>
      <c r="G13" s="1492"/>
      <c r="H13" s="1492"/>
      <c r="I13" s="1492"/>
      <c r="J13" s="1492"/>
      <c r="K13" s="1492"/>
      <c r="L13" s="1492"/>
      <c r="M13" s="1492"/>
      <c r="N13" s="1492"/>
      <c r="O13" s="1492"/>
      <c r="P13" s="1492"/>
      <c r="Q13" s="1492"/>
      <c r="R13" s="1492"/>
      <c r="S13" s="1492"/>
    </row>
    <row r="14" spans="1:19" ht="56.25">
      <c r="A14" s="464">
        <v>1</v>
      </c>
      <c r="B14" s="91">
        <v>805684</v>
      </c>
      <c r="C14" s="465" t="s">
        <v>24</v>
      </c>
      <c r="D14" s="428" t="s">
        <v>3276</v>
      </c>
      <c r="E14" s="25">
        <v>4</v>
      </c>
      <c r="F14" s="25">
        <v>4</v>
      </c>
      <c r="G14" s="427" t="s">
        <v>3283</v>
      </c>
      <c r="H14" s="427" t="s">
        <v>3284</v>
      </c>
      <c r="I14" s="430"/>
      <c r="J14" s="458" t="str">
        <f>IF(I14="","",I14/F14)</f>
        <v/>
      </c>
      <c r="K14" s="466"/>
      <c r="L14" s="430">
        <v>0</v>
      </c>
      <c r="M14" s="467">
        <f>IF(I14="",L14/F14,"")</f>
        <v>0</v>
      </c>
      <c r="N14" s="430">
        <v>0</v>
      </c>
      <c r="O14" s="467">
        <f t="shared" ref="O14:O44" si="1">N14/F14</f>
        <v>0</v>
      </c>
      <c r="P14" s="430">
        <v>0</v>
      </c>
      <c r="Q14" s="458">
        <f t="shared" ref="Q14:Q44" si="2">P14/F14</f>
        <v>0</v>
      </c>
      <c r="R14" s="432" t="s">
        <v>1488</v>
      </c>
      <c r="S14" s="436">
        <v>2019</v>
      </c>
    </row>
    <row r="15" spans="1:19" ht="56.25">
      <c r="A15" s="464">
        <v>2</v>
      </c>
      <c r="B15" s="91">
        <v>805684</v>
      </c>
      <c r="C15" s="465" t="s">
        <v>25</v>
      </c>
      <c r="D15" s="428" t="s">
        <v>3276</v>
      </c>
      <c r="E15" s="25">
        <v>45.91</v>
      </c>
      <c r="F15" s="25">
        <v>45.91</v>
      </c>
      <c r="G15" s="427" t="s">
        <v>3285</v>
      </c>
      <c r="H15" s="427" t="s">
        <v>3283</v>
      </c>
      <c r="I15" s="430"/>
      <c r="J15" s="458" t="str">
        <f t="shared" ref="J15:J41" si="3">IF(I15="","",I15/F15)</f>
        <v/>
      </c>
      <c r="K15" s="466"/>
      <c r="L15" s="430">
        <v>45.91</v>
      </c>
      <c r="M15" s="467">
        <f t="shared" ref="M15:M43" si="4">IF(I15="",L15/F15,"")</f>
        <v>1</v>
      </c>
      <c r="N15" s="430">
        <v>45.91</v>
      </c>
      <c r="O15" s="467">
        <f t="shared" si="1"/>
        <v>1</v>
      </c>
      <c r="P15" s="430">
        <v>45.91</v>
      </c>
      <c r="Q15" s="458">
        <f t="shared" si="2"/>
        <v>1</v>
      </c>
      <c r="R15" s="432" t="s">
        <v>1488</v>
      </c>
      <c r="S15" s="436">
        <v>2019</v>
      </c>
    </row>
    <row r="16" spans="1:19" ht="75">
      <c r="A16" s="464">
        <v>3</v>
      </c>
      <c r="B16" s="91" t="s">
        <v>26</v>
      </c>
      <c r="C16" s="465" t="s">
        <v>27</v>
      </c>
      <c r="D16" s="428" t="s">
        <v>3276</v>
      </c>
      <c r="E16" s="25">
        <v>46.838000000000001</v>
      </c>
      <c r="F16" s="25">
        <v>46.84</v>
      </c>
      <c r="G16" s="427" t="s">
        <v>41</v>
      </c>
      <c r="H16" s="427" t="s">
        <v>3286</v>
      </c>
      <c r="I16" s="430"/>
      <c r="J16" s="458" t="str">
        <f t="shared" si="3"/>
        <v/>
      </c>
      <c r="K16" s="466"/>
      <c r="L16" s="430">
        <v>0</v>
      </c>
      <c r="M16" s="467">
        <f t="shared" si="4"/>
        <v>0</v>
      </c>
      <c r="N16" s="430">
        <v>30</v>
      </c>
      <c r="O16" s="467">
        <f t="shared" si="1"/>
        <v>0.64047822374039276</v>
      </c>
      <c r="P16" s="430">
        <v>46.838000000000001</v>
      </c>
      <c r="Q16" s="458">
        <f t="shared" si="2"/>
        <v>0.99995730145175055</v>
      </c>
      <c r="R16" s="432" t="s">
        <v>1488</v>
      </c>
      <c r="S16" s="436">
        <v>2019</v>
      </c>
    </row>
    <row r="17" spans="1:19" ht="75">
      <c r="A17" s="464">
        <v>4</v>
      </c>
      <c r="B17" s="91" t="s">
        <v>26</v>
      </c>
      <c r="C17" s="465" t="s">
        <v>34</v>
      </c>
      <c r="D17" s="428" t="s">
        <v>3276</v>
      </c>
      <c r="E17" s="25">
        <v>12.927</v>
      </c>
      <c r="F17" s="25">
        <v>12.93</v>
      </c>
      <c r="G17" s="427" t="s">
        <v>3286</v>
      </c>
      <c r="H17" s="427" t="s">
        <v>3287</v>
      </c>
      <c r="I17" s="430"/>
      <c r="J17" s="458" t="str">
        <f t="shared" si="3"/>
        <v/>
      </c>
      <c r="K17" s="466"/>
      <c r="L17" s="430">
        <v>7.53</v>
      </c>
      <c r="M17" s="467">
        <f t="shared" si="4"/>
        <v>0.58236658932714624</v>
      </c>
      <c r="N17" s="430">
        <v>7.53</v>
      </c>
      <c r="O17" s="467">
        <f t="shared" si="1"/>
        <v>0.58236658932714624</v>
      </c>
      <c r="P17" s="430">
        <f>5.4+7.53</f>
        <v>12.93</v>
      </c>
      <c r="Q17" s="458">
        <f t="shared" si="2"/>
        <v>1</v>
      </c>
      <c r="R17" s="432" t="s">
        <v>1488</v>
      </c>
      <c r="S17" s="436">
        <v>2019</v>
      </c>
    </row>
    <row r="18" spans="1:19" ht="75">
      <c r="A18" s="464">
        <v>5</v>
      </c>
      <c r="B18" s="91" t="s">
        <v>26</v>
      </c>
      <c r="C18" s="465" t="s">
        <v>37</v>
      </c>
      <c r="D18" s="428" t="s">
        <v>3276</v>
      </c>
      <c r="E18" s="25">
        <v>36.067</v>
      </c>
      <c r="F18" s="25">
        <v>36.07</v>
      </c>
      <c r="G18" s="427" t="s">
        <v>3288</v>
      </c>
      <c r="H18" s="427" t="s">
        <v>41</v>
      </c>
      <c r="I18" s="430"/>
      <c r="J18" s="458" t="str">
        <f t="shared" si="3"/>
        <v/>
      </c>
      <c r="K18" s="466"/>
      <c r="L18" s="430">
        <v>1.94</v>
      </c>
      <c r="M18" s="467">
        <f t="shared" si="4"/>
        <v>5.3784308289437206E-2</v>
      </c>
      <c r="N18" s="430">
        <v>26.9</v>
      </c>
      <c r="O18" s="467">
        <f t="shared" si="1"/>
        <v>0.74577210978652619</v>
      </c>
      <c r="P18" s="430">
        <v>35.5</v>
      </c>
      <c r="Q18" s="458">
        <f t="shared" si="2"/>
        <v>0.98419739395619632</v>
      </c>
      <c r="R18" s="432" t="s">
        <v>1488</v>
      </c>
      <c r="S18" s="436">
        <v>2019</v>
      </c>
    </row>
    <row r="19" spans="1:19" ht="75">
      <c r="A19" s="464">
        <v>6</v>
      </c>
      <c r="B19" s="91" t="s">
        <v>26</v>
      </c>
      <c r="C19" s="465" t="s">
        <v>42</v>
      </c>
      <c r="D19" s="428" t="s">
        <v>3276</v>
      </c>
      <c r="E19" s="25">
        <v>7.1130000000000004</v>
      </c>
      <c r="F19" s="25">
        <v>7.11</v>
      </c>
      <c r="G19" s="427" t="s">
        <v>60</v>
      </c>
      <c r="H19" s="427" t="s">
        <v>3289</v>
      </c>
      <c r="I19" s="25"/>
      <c r="J19" s="458" t="str">
        <f t="shared" si="3"/>
        <v/>
      </c>
      <c r="K19" s="466"/>
      <c r="L19" s="430">
        <v>7.1130000000000004</v>
      </c>
      <c r="M19" s="467">
        <f t="shared" si="4"/>
        <v>1.00042194092827</v>
      </c>
      <c r="N19" s="25">
        <v>7.1130000000000004</v>
      </c>
      <c r="O19" s="467">
        <f t="shared" si="1"/>
        <v>1.00042194092827</v>
      </c>
      <c r="P19" s="25">
        <v>7.1130000000000004</v>
      </c>
      <c r="Q19" s="458">
        <f t="shared" si="2"/>
        <v>1.00042194092827</v>
      </c>
      <c r="R19" s="432" t="s">
        <v>1488</v>
      </c>
      <c r="S19" s="436">
        <v>2019</v>
      </c>
    </row>
    <row r="20" spans="1:19" ht="56.25">
      <c r="A20" s="464">
        <v>7</v>
      </c>
      <c r="B20" s="91">
        <v>805616</v>
      </c>
      <c r="C20" s="465" t="s">
        <v>43</v>
      </c>
      <c r="D20" s="428" t="s">
        <v>3276</v>
      </c>
      <c r="E20" s="25">
        <v>7.1050000000000004</v>
      </c>
      <c r="F20" s="25">
        <v>7.11</v>
      </c>
      <c r="G20" s="427" t="s">
        <v>3290</v>
      </c>
      <c r="H20" s="427" t="s">
        <v>636</v>
      </c>
      <c r="I20" s="430"/>
      <c r="J20" s="458" t="str">
        <f t="shared" si="3"/>
        <v/>
      </c>
      <c r="K20" s="466"/>
      <c r="L20" s="430">
        <v>2.66</v>
      </c>
      <c r="M20" s="467">
        <f t="shared" si="4"/>
        <v>0.37412095639943743</v>
      </c>
      <c r="N20" s="430">
        <v>4.8600000000000003</v>
      </c>
      <c r="O20" s="467">
        <f t="shared" si="1"/>
        <v>0.68354430379746833</v>
      </c>
      <c r="P20" s="430">
        <v>4.8600000000000003</v>
      </c>
      <c r="Q20" s="458">
        <f t="shared" si="2"/>
        <v>0.68354430379746833</v>
      </c>
      <c r="R20" s="432" t="s">
        <v>1488</v>
      </c>
      <c r="S20" s="436">
        <v>2019</v>
      </c>
    </row>
    <row r="21" spans="1:19" ht="56.25">
      <c r="A21" s="464">
        <v>8</v>
      </c>
      <c r="B21" s="91">
        <v>805453</v>
      </c>
      <c r="C21" s="465" t="s">
        <v>46</v>
      </c>
      <c r="D21" s="428" t="s">
        <v>3276</v>
      </c>
      <c r="E21" s="25">
        <v>6.33</v>
      </c>
      <c r="F21" s="25">
        <v>6.33</v>
      </c>
      <c r="G21" s="427" t="s">
        <v>60</v>
      </c>
      <c r="H21" s="427" t="s">
        <v>3291</v>
      </c>
      <c r="I21" s="430"/>
      <c r="J21" s="458" t="str">
        <f t="shared" si="3"/>
        <v/>
      </c>
      <c r="K21" s="466"/>
      <c r="L21" s="430">
        <v>6.33</v>
      </c>
      <c r="M21" s="467">
        <f t="shared" si="4"/>
        <v>1</v>
      </c>
      <c r="N21" s="430">
        <v>6.33</v>
      </c>
      <c r="O21" s="467">
        <f t="shared" si="1"/>
        <v>1</v>
      </c>
      <c r="P21" s="430">
        <v>6.33</v>
      </c>
      <c r="Q21" s="458">
        <f t="shared" si="2"/>
        <v>1</v>
      </c>
      <c r="R21" s="432" t="s">
        <v>1488</v>
      </c>
      <c r="S21" s="436">
        <v>2019</v>
      </c>
    </row>
    <row r="22" spans="1:19" ht="93.75">
      <c r="A22" s="464">
        <v>9</v>
      </c>
      <c r="B22" s="91">
        <v>805454</v>
      </c>
      <c r="C22" s="465" t="s">
        <v>50</v>
      </c>
      <c r="D22" s="428" t="s">
        <v>3276</v>
      </c>
      <c r="E22" s="468">
        <v>1.23</v>
      </c>
      <c r="F22" s="468">
        <v>1.23</v>
      </c>
      <c r="G22" s="427" t="s">
        <v>60</v>
      </c>
      <c r="H22" s="427" t="s">
        <v>3292</v>
      </c>
      <c r="I22" s="186"/>
      <c r="J22" s="458" t="str">
        <f t="shared" si="3"/>
        <v/>
      </c>
      <c r="K22" s="469"/>
      <c r="L22" s="186">
        <v>1.23</v>
      </c>
      <c r="M22" s="467">
        <f t="shared" si="4"/>
        <v>1</v>
      </c>
      <c r="N22" s="186">
        <v>1.23</v>
      </c>
      <c r="O22" s="467">
        <f t="shared" si="1"/>
        <v>1</v>
      </c>
      <c r="P22" s="186">
        <v>1.23</v>
      </c>
      <c r="Q22" s="458">
        <f t="shared" si="2"/>
        <v>1</v>
      </c>
      <c r="R22" s="432" t="s">
        <v>1488</v>
      </c>
      <c r="S22" s="436">
        <v>2019</v>
      </c>
    </row>
    <row r="23" spans="1:19" ht="93.75">
      <c r="A23" s="464">
        <v>10</v>
      </c>
      <c r="B23" s="91">
        <v>805565</v>
      </c>
      <c r="C23" s="465" t="s">
        <v>51</v>
      </c>
      <c r="D23" s="428" t="s">
        <v>3276</v>
      </c>
      <c r="E23" s="25">
        <v>1.87</v>
      </c>
      <c r="F23" s="25">
        <v>1.87</v>
      </c>
      <c r="G23" s="427" t="s">
        <v>60</v>
      </c>
      <c r="H23" s="427" t="s">
        <v>3293</v>
      </c>
      <c r="I23" s="430"/>
      <c r="J23" s="458" t="str">
        <f t="shared" si="3"/>
        <v/>
      </c>
      <c r="K23" s="466"/>
      <c r="L23" s="25">
        <v>0</v>
      </c>
      <c r="M23" s="467">
        <f t="shared" si="4"/>
        <v>0</v>
      </c>
      <c r="N23" s="430">
        <v>0</v>
      </c>
      <c r="O23" s="467">
        <f t="shared" si="1"/>
        <v>0</v>
      </c>
      <c r="P23" s="430">
        <v>1.87</v>
      </c>
      <c r="Q23" s="458">
        <f t="shared" si="2"/>
        <v>1</v>
      </c>
      <c r="R23" s="432" t="s">
        <v>1488</v>
      </c>
      <c r="S23" s="436">
        <v>2019</v>
      </c>
    </row>
    <row r="24" spans="1:19" ht="75">
      <c r="A24" s="436">
        <v>11</v>
      </c>
      <c r="B24" s="432">
        <v>805672</v>
      </c>
      <c r="C24" s="465" t="s">
        <v>52</v>
      </c>
      <c r="D24" s="428" t="s">
        <v>3276</v>
      </c>
      <c r="E24" s="25">
        <v>7.89</v>
      </c>
      <c r="F24" s="25">
        <v>7.89</v>
      </c>
      <c r="G24" s="427" t="s">
        <v>60</v>
      </c>
      <c r="H24" s="427" t="s">
        <v>2614</v>
      </c>
      <c r="I24" s="430"/>
      <c r="J24" s="458" t="str">
        <f t="shared" si="3"/>
        <v/>
      </c>
      <c r="K24" s="466"/>
      <c r="L24" s="25">
        <v>0</v>
      </c>
      <c r="M24" s="467">
        <f t="shared" si="4"/>
        <v>0</v>
      </c>
      <c r="N24" s="430">
        <v>7.89</v>
      </c>
      <c r="O24" s="467">
        <f t="shared" si="1"/>
        <v>1</v>
      </c>
      <c r="P24" s="430">
        <v>7.89</v>
      </c>
      <c r="Q24" s="458">
        <f t="shared" si="2"/>
        <v>1</v>
      </c>
      <c r="R24" s="432" t="s">
        <v>1488</v>
      </c>
      <c r="S24" s="436">
        <v>2019</v>
      </c>
    </row>
    <row r="25" spans="1:19" ht="56.25">
      <c r="A25" s="436">
        <v>12</v>
      </c>
      <c r="B25" s="432">
        <v>805455</v>
      </c>
      <c r="C25" s="465" t="s">
        <v>55</v>
      </c>
      <c r="D25" s="428" t="s">
        <v>3276</v>
      </c>
      <c r="E25" s="25">
        <v>12.565</v>
      </c>
      <c r="F25" s="25">
        <v>12.57</v>
      </c>
      <c r="G25" s="427" t="s">
        <v>60</v>
      </c>
      <c r="H25" s="427" t="s">
        <v>3294</v>
      </c>
      <c r="I25" s="430"/>
      <c r="J25" s="458" t="str">
        <f t="shared" si="3"/>
        <v/>
      </c>
      <c r="K25" s="466"/>
      <c r="L25" s="430">
        <v>12.565</v>
      </c>
      <c r="M25" s="467">
        <f t="shared" si="4"/>
        <v>0.99960222752585515</v>
      </c>
      <c r="N25" s="430">
        <v>12.565</v>
      </c>
      <c r="O25" s="467">
        <f t="shared" si="1"/>
        <v>0.99960222752585515</v>
      </c>
      <c r="P25" s="430">
        <v>12.565</v>
      </c>
      <c r="Q25" s="458">
        <f t="shared" si="2"/>
        <v>0.99960222752585515</v>
      </c>
      <c r="R25" s="432" t="s">
        <v>1488</v>
      </c>
      <c r="S25" s="436">
        <v>2019</v>
      </c>
    </row>
    <row r="26" spans="1:19" ht="56.25">
      <c r="A26" s="436">
        <v>13</v>
      </c>
      <c r="B26" s="432">
        <v>805861</v>
      </c>
      <c r="C26" s="465" t="s">
        <v>56</v>
      </c>
      <c r="D26" s="428" t="s">
        <v>3276</v>
      </c>
      <c r="E26" s="25">
        <v>12.42</v>
      </c>
      <c r="F26" s="25">
        <v>12.42</v>
      </c>
      <c r="G26" s="427" t="s">
        <v>60</v>
      </c>
      <c r="H26" s="427" t="s">
        <v>3295</v>
      </c>
      <c r="I26" s="430"/>
      <c r="J26" s="458" t="str">
        <f t="shared" si="3"/>
        <v/>
      </c>
      <c r="K26" s="466"/>
      <c r="L26" s="430">
        <v>12.42</v>
      </c>
      <c r="M26" s="467">
        <f t="shared" si="4"/>
        <v>1</v>
      </c>
      <c r="N26" s="430">
        <v>12.42</v>
      </c>
      <c r="O26" s="467">
        <f t="shared" si="1"/>
        <v>1</v>
      </c>
      <c r="P26" s="430">
        <v>12.42</v>
      </c>
      <c r="Q26" s="458">
        <f t="shared" si="2"/>
        <v>1</v>
      </c>
      <c r="R26" s="432" t="s">
        <v>1488</v>
      </c>
      <c r="S26" s="436">
        <v>2019</v>
      </c>
    </row>
    <row r="27" spans="1:19" ht="56.25">
      <c r="A27" s="436">
        <v>14</v>
      </c>
      <c r="B27" s="432">
        <v>805504</v>
      </c>
      <c r="C27" s="465" t="s">
        <v>57</v>
      </c>
      <c r="D27" s="428" t="s">
        <v>3276</v>
      </c>
      <c r="E27" s="25">
        <v>1.42</v>
      </c>
      <c r="F27" s="25">
        <v>1.42</v>
      </c>
      <c r="G27" s="427" t="s">
        <v>3296</v>
      </c>
      <c r="H27" s="427" t="s">
        <v>2722</v>
      </c>
      <c r="I27" s="430"/>
      <c r="J27" s="458" t="str">
        <f t="shared" si="3"/>
        <v/>
      </c>
      <c r="K27" s="466"/>
      <c r="L27" s="430">
        <v>1.42</v>
      </c>
      <c r="M27" s="467">
        <f t="shared" si="4"/>
        <v>1</v>
      </c>
      <c r="N27" s="430">
        <v>1.42</v>
      </c>
      <c r="O27" s="467">
        <f t="shared" si="1"/>
        <v>1</v>
      </c>
      <c r="P27" s="430">
        <v>1.42</v>
      </c>
      <c r="Q27" s="458">
        <f t="shared" si="2"/>
        <v>1</v>
      </c>
      <c r="R27" s="432" t="s">
        <v>1488</v>
      </c>
      <c r="S27" s="436">
        <v>2019</v>
      </c>
    </row>
    <row r="28" spans="1:19" ht="56.25">
      <c r="A28" s="436">
        <v>15</v>
      </c>
      <c r="B28" s="432">
        <v>805566</v>
      </c>
      <c r="C28" s="465" t="s">
        <v>58</v>
      </c>
      <c r="D28" s="428" t="s">
        <v>3276</v>
      </c>
      <c r="E28" s="25">
        <v>1.96</v>
      </c>
      <c r="F28" s="25">
        <v>1.96</v>
      </c>
      <c r="G28" s="427" t="s">
        <v>60</v>
      </c>
      <c r="H28" s="427" t="s">
        <v>3297</v>
      </c>
      <c r="I28" s="430"/>
      <c r="J28" s="458" t="str">
        <f t="shared" si="3"/>
        <v/>
      </c>
      <c r="K28" s="466"/>
      <c r="L28" s="25">
        <v>0</v>
      </c>
      <c r="M28" s="467">
        <f t="shared" si="4"/>
        <v>0</v>
      </c>
      <c r="N28" s="430">
        <v>0</v>
      </c>
      <c r="O28" s="467">
        <f t="shared" si="1"/>
        <v>0</v>
      </c>
      <c r="P28" s="430">
        <v>1.96</v>
      </c>
      <c r="Q28" s="458">
        <f t="shared" si="2"/>
        <v>1</v>
      </c>
      <c r="R28" s="432" t="s">
        <v>1488</v>
      </c>
      <c r="S28" s="436">
        <v>2019</v>
      </c>
    </row>
    <row r="29" spans="1:19" ht="56.25">
      <c r="A29" s="436">
        <v>16</v>
      </c>
      <c r="B29" s="432">
        <v>805800</v>
      </c>
      <c r="C29" s="465" t="s">
        <v>59</v>
      </c>
      <c r="D29" s="428" t="s">
        <v>3276</v>
      </c>
      <c r="E29" s="25">
        <v>12.5</v>
      </c>
      <c r="F29" s="25">
        <v>12.5</v>
      </c>
      <c r="G29" s="427" t="s">
        <v>60</v>
      </c>
      <c r="H29" s="427" t="s">
        <v>61</v>
      </c>
      <c r="I29" s="430"/>
      <c r="J29" s="458" t="str">
        <f t="shared" si="3"/>
        <v/>
      </c>
      <c r="K29" s="466"/>
      <c r="L29" s="25">
        <v>0</v>
      </c>
      <c r="M29" s="467">
        <f t="shared" si="4"/>
        <v>0</v>
      </c>
      <c r="N29" s="430">
        <v>0</v>
      </c>
      <c r="O29" s="467">
        <f t="shared" si="1"/>
        <v>0</v>
      </c>
      <c r="P29" s="430">
        <v>6.5</v>
      </c>
      <c r="Q29" s="458">
        <f t="shared" si="2"/>
        <v>0.52</v>
      </c>
      <c r="R29" s="432" t="s">
        <v>1488</v>
      </c>
      <c r="S29" s="436">
        <v>2019</v>
      </c>
    </row>
    <row r="30" spans="1:19" ht="56.25">
      <c r="A30" s="436">
        <v>17</v>
      </c>
      <c r="B30" s="432">
        <v>805510</v>
      </c>
      <c r="C30" s="465" t="s">
        <v>62</v>
      </c>
      <c r="D30" s="428" t="s">
        <v>3276</v>
      </c>
      <c r="E30" s="25">
        <v>5.98</v>
      </c>
      <c r="F30" s="25">
        <v>5.98</v>
      </c>
      <c r="G30" s="427" t="s">
        <v>61</v>
      </c>
      <c r="H30" s="427" t="s">
        <v>3298</v>
      </c>
      <c r="I30" s="430"/>
      <c r="J30" s="458" t="str">
        <f t="shared" si="3"/>
        <v/>
      </c>
      <c r="K30" s="466"/>
      <c r="L30" s="430"/>
      <c r="M30" s="467">
        <f t="shared" si="4"/>
        <v>0</v>
      </c>
      <c r="N30" s="430">
        <v>0</v>
      </c>
      <c r="O30" s="467">
        <f t="shared" si="1"/>
        <v>0</v>
      </c>
      <c r="P30" s="25">
        <v>5.98</v>
      </c>
      <c r="Q30" s="458">
        <f t="shared" si="2"/>
        <v>1</v>
      </c>
      <c r="R30" s="432" t="s">
        <v>1488</v>
      </c>
      <c r="S30" s="436">
        <v>2019</v>
      </c>
    </row>
    <row r="31" spans="1:19" ht="131.25">
      <c r="A31" s="436">
        <v>18</v>
      </c>
      <c r="B31" s="432">
        <v>805462</v>
      </c>
      <c r="C31" s="465" t="s">
        <v>873</v>
      </c>
      <c r="D31" s="428" t="s">
        <v>3276</v>
      </c>
      <c r="E31" s="25">
        <v>14.138</v>
      </c>
      <c r="F31" s="25">
        <v>14.14</v>
      </c>
      <c r="G31" s="427" t="s">
        <v>60</v>
      </c>
      <c r="H31" s="427" t="s">
        <v>3299</v>
      </c>
      <c r="I31" s="186"/>
      <c r="J31" s="458" t="str">
        <f t="shared" si="3"/>
        <v/>
      </c>
      <c r="K31" s="466"/>
      <c r="L31" s="430">
        <v>11.8</v>
      </c>
      <c r="M31" s="467">
        <f t="shared" si="4"/>
        <v>0.83451202263083457</v>
      </c>
      <c r="N31" s="430">
        <v>14.138</v>
      </c>
      <c r="O31" s="467">
        <f t="shared" si="1"/>
        <v>0.99985855728429984</v>
      </c>
      <c r="P31" s="430">
        <f>N31</f>
        <v>14.138</v>
      </c>
      <c r="Q31" s="458">
        <f t="shared" si="2"/>
        <v>0.99985855728429984</v>
      </c>
      <c r="R31" s="432" t="s">
        <v>1488</v>
      </c>
      <c r="S31" s="436">
        <v>2019</v>
      </c>
    </row>
    <row r="32" spans="1:19" ht="56.25">
      <c r="A32" s="436">
        <v>19</v>
      </c>
      <c r="B32" s="432">
        <v>805807</v>
      </c>
      <c r="C32" s="465" t="s">
        <v>69</v>
      </c>
      <c r="D32" s="428" t="s">
        <v>3276</v>
      </c>
      <c r="E32" s="25">
        <v>72.213999999999999</v>
      </c>
      <c r="F32" s="25">
        <v>46.2</v>
      </c>
      <c r="G32" s="427" t="s">
        <v>3300</v>
      </c>
      <c r="H32" s="427" t="s">
        <v>2615</v>
      </c>
      <c r="I32" s="430"/>
      <c r="J32" s="458" t="str">
        <f t="shared" si="3"/>
        <v/>
      </c>
      <c r="K32" s="466"/>
      <c r="L32" s="430">
        <v>31.9</v>
      </c>
      <c r="M32" s="467">
        <f t="shared" si="4"/>
        <v>0.69047619047619035</v>
      </c>
      <c r="N32" s="430">
        <v>46.2</v>
      </c>
      <c r="O32" s="467">
        <f t="shared" si="1"/>
        <v>1</v>
      </c>
      <c r="P32" s="430">
        <v>46.2</v>
      </c>
      <c r="Q32" s="458">
        <f t="shared" si="2"/>
        <v>1</v>
      </c>
      <c r="R32" s="432" t="s">
        <v>1488</v>
      </c>
      <c r="S32" s="436">
        <v>2019</v>
      </c>
    </row>
    <row r="33" spans="1:19" ht="56.25">
      <c r="A33" s="436">
        <v>20</v>
      </c>
      <c r="B33" s="432">
        <v>805807</v>
      </c>
      <c r="C33" s="465" t="s">
        <v>76</v>
      </c>
      <c r="D33" s="428" t="s">
        <v>3276</v>
      </c>
      <c r="E33" s="25">
        <v>57.295000000000002</v>
      </c>
      <c r="F33" s="25">
        <v>57.3</v>
      </c>
      <c r="G33" s="427" t="s">
        <v>3301</v>
      </c>
      <c r="H33" s="427" t="s">
        <v>3302</v>
      </c>
      <c r="I33" s="430"/>
      <c r="J33" s="458" t="str">
        <f t="shared" si="3"/>
        <v/>
      </c>
      <c r="K33" s="466"/>
      <c r="L33" s="25">
        <v>28.933</v>
      </c>
      <c r="M33" s="467">
        <f t="shared" si="4"/>
        <v>0.50493891797556723</v>
      </c>
      <c r="N33" s="430">
        <f>3.073+28.933</f>
        <v>32.006</v>
      </c>
      <c r="O33" s="467">
        <f t="shared" si="1"/>
        <v>0.55856893542757424</v>
      </c>
      <c r="P33" s="470">
        <v>43</v>
      </c>
      <c r="Q33" s="458">
        <f t="shared" si="2"/>
        <v>0.75043630017452012</v>
      </c>
      <c r="R33" s="432" t="s">
        <v>1488</v>
      </c>
      <c r="S33" s="436">
        <v>2019</v>
      </c>
    </row>
    <row r="34" spans="1:19" ht="56.25">
      <c r="A34" s="436"/>
      <c r="B34" s="432"/>
      <c r="C34" s="465" t="s">
        <v>82</v>
      </c>
      <c r="D34" s="428" t="s">
        <v>3276</v>
      </c>
      <c r="E34" s="468">
        <v>3.133</v>
      </c>
      <c r="F34" s="468">
        <v>3.13</v>
      </c>
      <c r="G34" s="427" t="s">
        <v>60</v>
      </c>
      <c r="H34" s="427" t="s">
        <v>3303</v>
      </c>
      <c r="I34" s="186"/>
      <c r="J34" s="458" t="str">
        <f t="shared" si="3"/>
        <v/>
      </c>
      <c r="K34" s="469"/>
      <c r="L34" s="186">
        <v>3.13</v>
      </c>
      <c r="M34" s="467">
        <f t="shared" si="4"/>
        <v>1</v>
      </c>
      <c r="N34" s="186">
        <v>3.13</v>
      </c>
      <c r="O34" s="467">
        <f t="shared" si="1"/>
        <v>1</v>
      </c>
      <c r="P34" s="186">
        <v>3.13</v>
      </c>
      <c r="Q34" s="458">
        <f t="shared" si="2"/>
        <v>1</v>
      </c>
      <c r="R34" s="432" t="s">
        <v>1488</v>
      </c>
      <c r="S34" s="436">
        <v>2019</v>
      </c>
    </row>
    <row r="35" spans="1:19" ht="56.25">
      <c r="A35" s="436">
        <v>22</v>
      </c>
      <c r="B35" s="432" t="s">
        <v>83</v>
      </c>
      <c r="C35" s="465" t="s">
        <v>84</v>
      </c>
      <c r="D35" s="428" t="s">
        <v>3276</v>
      </c>
      <c r="E35" s="25">
        <v>60.725999999999999</v>
      </c>
      <c r="F35" s="25">
        <v>60.73</v>
      </c>
      <c r="G35" s="427" t="s">
        <v>2615</v>
      </c>
      <c r="H35" s="427" t="s">
        <v>3301</v>
      </c>
      <c r="I35" s="186"/>
      <c r="J35" s="458" t="str">
        <f t="shared" si="3"/>
        <v/>
      </c>
      <c r="K35" s="466"/>
      <c r="L35" s="430">
        <v>43.061</v>
      </c>
      <c r="M35" s="467">
        <f t="shared" si="4"/>
        <v>0.70905647949942374</v>
      </c>
      <c r="N35" s="430">
        <v>58.661000000000001</v>
      </c>
      <c r="O35" s="467">
        <f t="shared" si="1"/>
        <v>0.96593117075580448</v>
      </c>
      <c r="P35" s="25">
        <f>N35</f>
        <v>58.661000000000001</v>
      </c>
      <c r="Q35" s="458">
        <f t="shared" si="2"/>
        <v>0.96593117075580448</v>
      </c>
      <c r="R35" s="432" t="s">
        <v>1488</v>
      </c>
      <c r="S35" s="436">
        <v>2019</v>
      </c>
    </row>
    <row r="36" spans="1:19" ht="56.25">
      <c r="A36" s="436">
        <v>23</v>
      </c>
      <c r="B36" s="432">
        <v>805856</v>
      </c>
      <c r="C36" s="465" t="s">
        <v>94</v>
      </c>
      <c r="D36" s="428" t="s">
        <v>3276</v>
      </c>
      <c r="E36" s="25">
        <v>0.99</v>
      </c>
      <c r="F36" s="25">
        <v>0.99</v>
      </c>
      <c r="G36" s="427" t="s">
        <v>60</v>
      </c>
      <c r="H36" s="427" t="s">
        <v>95</v>
      </c>
      <c r="I36" s="430"/>
      <c r="J36" s="458" t="str">
        <f t="shared" si="3"/>
        <v/>
      </c>
      <c r="K36" s="466"/>
      <c r="L36" s="25">
        <v>0</v>
      </c>
      <c r="M36" s="467">
        <f t="shared" si="4"/>
        <v>0</v>
      </c>
      <c r="N36" s="430">
        <v>0</v>
      </c>
      <c r="O36" s="467">
        <f t="shared" si="1"/>
        <v>0</v>
      </c>
      <c r="P36" s="25">
        <v>0.99</v>
      </c>
      <c r="Q36" s="458">
        <f t="shared" si="2"/>
        <v>1</v>
      </c>
      <c r="R36" s="432" t="s">
        <v>1488</v>
      </c>
      <c r="S36" s="436">
        <v>2019</v>
      </c>
    </row>
    <row r="37" spans="1:19" ht="56.25">
      <c r="A37" s="436">
        <v>24</v>
      </c>
      <c r="B37" s="432">
        <v>805868</v>
      </c>
      <c r="C37" s="465" t="s">
        <v>96</v>
      </c>
      <c r="D37" s="428" t="s">
        <v>3276</v>
      </c>
      <c r="E37" s="25">
        <v>11.8</v>
      </c>
      <c r="F37" s="25">
        <v>11.8</v>
      </c>
      <c r="G37" s="427" t="s">
        <v>60</v>
      </c>
      <c r="H37" s="427" t="s">
        <v>2617</v>
      </c>
      <c r="I37" s="430"/>
      <c r="J37" s="458" t="str">
        <f t="shared" si="3"/>
        <v/>
      </c>
      <c r="K37" s="466"/>
      <c r="L37" s="25">
        <v>0</v>
      </c>
      <c r="M37" s="467">
        <f t="shared" si="4"/>
        <v>0</v>
      </c>
      <c r="N37" s="430">
        <v>0</v>
      </c>
      <c r="O37" s="467">
        <f t="shared" si="1"/>
        <v>0</v>
      </c>
      <c r="P37" s="430">
        <v>6.13</v>
      </c>
      <c r="Q37" s="458">
        <f t="shared" si="2"/>
        <v>0.51949152542372878</v>
      </c>
      <c r="R37" s="432" t="s">
        <v>1488</v>
      </c>
      <c r="S37" s="436">
        <v>2019</v>
      </c>
    </row>
    <row r="38" spans="1:19" ht="56.25">
      <c r="A38" s="436">
        <v>25</v>
      </c>
      <c r="B38" s="432">
        <v>805680</v>
      </c>
      <c r="C38" s="465" t="s">
        <v>97</v>
      </c>
      <c r="D38" s="428" t="s">
        <v>3276</v>
      </c>
      <c r="E38" s="25">
        <v>2.57</v>
      </c>
      <c r="F38" s="25">
        <v>2.57</v>
      </c>
      <c r="G38" s="427" t="s">
        <v>60</v>
      </c>
      <c r="H38" s="427" t="s">
        <v>3304</v>
      </c>
      <c r="I38" s="430"/>
      <c r="J38" s="458" t="str">
        <f t="shared" si="3"/>
        <v/>
      </c>
      <c r="K38" s="466"/>
      <c r="L38" s="25">
        <v>0</v>
      </c>
      <c r="M38" s="467">
        <f t="shared" si="4"/>
        <v>0</v>
      </c>
      <c r="N38" s="430">
        <v>0</v>
      </c>
      <c r="O38" s="467">
        <f t="shared" si="1"/>
        <v>0</v>
      </c>
      <c r="P38" s="25">
        <v>1</v>
      </c>
      <c r="Q38" s="458">
        <f t="shared" si="2"/>
        <v>0.38910505836575876</v>
      </c>
      <c r="R38" s="432" t="s">
        <v>1488</v>
      </c>
      <c r="S38" s="436">
        <v>2019</v>
      </c>
    </row>
    <row r="39" spans="1:19" ht="131.25">
      <c r="A39" s="436">
        <v>26</v>
      </c>
      <c r="B39" s="432">
        <v>805512</v>
      </c>
      <c r="C39" s="465" t="s">
        <v>99</v>
      </c>
      <c r="D39" s="428" t="s">
        <v>3276</v>
      </c>
      <c r="E39" s="25">
        <v>12.24</v>
      </c>
      <c r="F39" s="25">
        <v>12.24</v>
      </c>
      <c r="G39" s="427" t="s">
        <v>60</v>
      </c>
      <c r="H39" s="427" t="s">
        <v>65</v>
      </c>
      <c r="I39" s="430"/>
      <c r="J39" s="458" t="str">
        <f t="shared" si="3"/>
        <v/>
      </c>
      <c r="K39" s="466"/>
      <c r="L39" s="25">
        <v>0</v>
      </c>
      <c r="M39" s="467">
        <f t="shared" si="4"/>
        <v>0</v>
      </c>
      <c r="N39" s="430">
        <v>0</v>
      </c>
      <c r="O39" s="467">
        <f t="shared" si="1"/>
        <v>0</v>
      </c>
      <c r="P39" s="25">
        <v>12.24</v>
      </c>
      <c r="Q39" s="458">
        <f t="shared" si="2"/>
        <v>1</v>
      </c>
      <c r="R39" s="432" t="s">
        <v>1488</v>
      </c>
      <c r="S39" s="436">
        <v>2019</v>
      </c>
    </row>
    <row r="40" spans="1:19" ht="56.25">
      <c r="A40" s="436">
        <v>27</v>
      </c>
      <c r="B40" s="432">
        <v>805860</v>
      </c>
      <c r="C40" s="465" t="s">
        <v>101</v>
      </c>
      <c r="D40" s="428" t="s">
        <v>3276</v>
      </c>
      <c r="E40" s="25">
        <v>8.4</v>
      </c>
      <c r="F40" s="25">
        <v>8.4</v>
      </c>
      <c r="G40" s="427" t="s">
        <v>60</v>
      </c>
      <c r="H40" s="427" t="s">
        <v>3305</v>
      </c>
      <c r="I40" s="430"/>
      <c r="J40" s="458" t="str">
        <f t="shared" si="3"/>
        <v/>
      </c>
      <c r="K40" s="466"/>
      <c r="L40" s="25">
        <v>0</v>
      </c>
      <c r="M40" s="467">
        <f t="shared" si="4"/>
        <v>0</v>
      </c>
      <c r="N40" s="430">
        <v>0</v>
      </c>
      <c r="O40" s="467">
        <f t="shared" si="1"/>
        <v>0</v>
      </c>
      <c r="P40" s="25">
        <v>8.4</v>
      </c>
      <c r="Q40" s="458">
        <f t="shared" si="2"/>
        <v>1</v>
      </c>
      <c r="R40" s="432" t="s">
        <v>1488</v>
      </c>
      <c r="S40" s="436">
        <v>2019</v>
      </c>
    </row>
    <row r="41" spans="1:19" ht="56.25">
      <c r="A41" s="436">
        <v>28</v>
      </c>
      <c r="B41" s="432">
        <v>805572</v>
      </c>
      <c r="C41" s="465" t="s">
        <v>102</v>
      </c>
      <c r="D41" s="428" t="s">
        <v>3276</v>
      </c>
      <c r="E41" s="25">
        <v>6.13</v>
      </c>
      <c r="F41" s="25">
        <v>6.13</v>
      </c>
      <c r="G41" s="427" t="s">
        <v>60</v>
      </c>
      <c r="H41" s="427" t="s">
        <v>3306</v>
      </c>
      <c r="I41" s="430"/>
      <c r="J41" s="458" t="str">
        <f t="shared" si="3"/>
        <v/>
      </c>
      <c r="K41" s="466"/>
      <c r="L41" s="25">
        <v>0</v>
      </c>
      <c r="M41" s="467">
        <f t="shared" si="4"/>
        <v>0</v>
      </c>
      <c r="N41" s="430">
        <v>0</v>
      </c>
      <c r="O41" s="467">
        <f t="shared" si="1"/>
        <v>0</v>
      </c>
      <c r="P41" s="25">
        <v>6.13</v>
      </c>
      <c r="Q41" s="458">
        <f t="shared" si="2"/>
        <v>1</v>
      </c>
      <c r="R41" s="432" t="s">
        <v>1488</v>
      </c>
      <c r="S41" s="436">
        <v>2019</v>
      </c>
    </row>
    <row r="42" spans="1:19" ht="75">
      <c r="A42" s="436"/>
      <c r="B42" s="432">
        <v>805461</v>
      </c>
      <c r="C42" s="465" t="s">
        <v>104</v>
      </c>
      <c r="D42" s="428" t="s">
        <v>3276</v>
      </c>
      <c r="E42" s="25">
        <v>14.05</v>
      </c>
      <c r="F42" s="25">
        <v>14.05</v>
      </c>
      <c r="G42" s="427" t="s">
        <v>60</v>
      </c>
      <c r="H42" s="427" t="s">
        <v>2618</v>
      </c>
      <c r="I42" s="430"/>
      <c r="J42" s="458"/>
      <c r="K42" s="466"/>
      <c r="L42" s="25">
        <v>0</v>
      </c>
      <c r="M42" s="467">
        <f t="shared" si="4"/>
        <v>0</v>
      </c>
      <c r="N42" s="430">
        <v>0</v>
      </c>
      <c r="O42" s="467">
        <f t="shared" si="1"/>
        <v>0</v>
      </c>
      <c r="P42" s="25">
        <v>6.7</v>
      </c>
      <c r="Q42" s="458">
        <f t="shared" si="2"/>
        <v>0.47686832740213519</v>
      </c>
      <c r="R42" s="432" t="s">
        <v>1488</v>
      </c>
      <c r="S42" s="436">
        <v>2020</v>
      </c>
    </row>
    <row r="43" spans="1:19" ht="56.25">
      <c r="A43" s="436"/>
      <c r="B43" s="432" t="s">
        <v>882</v>
      </c>
      <c r="C43" s="465" t="s">
        <v>109</v>
      </c>
      <c r="D43" s="428" t="s">
        <v>3276</v>
      </c>
      <c r="E43" s="25">
        <v>18.059999999999999</v>
      </c>
      <c r="F43" s="25">
        <v>18.059999999999999</v>
      </c>
      <c r="G43" s="427" t="s">
        <v>2765</v>
      </c>
      <c r="H43" s="427" t="s">
        <v>3307</v>
      </c>
      <c r="I43" s="25"/>
      <c r="J43" s="458" t="str">
        <f t="shared" ref="J43" si="5">IF(I43="","",I43/F43)</f>
        <v/>
      </c>
      <c r="K43" s="466"/>
      <c r="L43" s="430">
        <v>18.059999999999999</v>
      </c>
      <c r="M43" s="467">
        <f t="shared" si="4"/>
        <v>1</v>
      </c>
      <c r="N43" s="25">
        <v>18.059999999999999</v>
      </c>
      <c r="O43" s="467">
        <f t="shared" si="1"/>
        <v>1</v>
      </c>
      <c r="P43" s="25">
        <v>18.059999999999999</v>
      </c>
      <c r="Q43" s="458">
        <f t="shared" si="2"/>
        <v>1</v>
      </c>
      <c r="R43" s="432" t="s">
        <v>1488</v>
      </c>
      <c r="S43" s="436">
        <v>2019</v>
      </c>
    </row>
    <row r="44" spans="1:19" ht="18.75">
      <c r="A44" s="1496" t="s">
        <v>1312</v>
      </c>
      <c r="B44" s="1496"/>
      <c r="C44" s="1496"/>
      <c r="D44" s="462"/>
      <c r="E44" s="459">
        <f>SUM(E14:E43)</f>
        <v>505.87099999999998</v>
      </c>
      <c r="F44" s="459">
        <f>SUM(F14:F43)</f>
        <v>479.88</v>
      </c>
      <c r="G44" s="459"/>
      <c r="H44" s="459"/>
      <c r="I44" s="459">
        <f>SUM(I14:I43)</f>
        <v>0</v>
      </c>
      <c r="J44" s="460">
        <f>I44/F44</f>
        <v>0</v>
      </c>
      <c r="K44" s="461"/>
      <c r="L44" s="459">
        <f>SUM(L14:L43)</f>
        <v>236.00199999999998</v>
      </c>
      <c r="M44" s="460">
        <f>L44/F44</f>
        <v>0.49179378177877797</v>
      </c>
      <c r="N44" s="459">
        <f>SUM(N14:N43)</f>
        <v>336.36299999999994</v>
      </c>
      <c r="O44" s="460">
        <f t="shared" si="1"/>
        <v>0.7009314828707176</v>
      </c>
      <c r="P44" s="459">
        <f>SUM(P14:P43)</f>
        <v>436.09499999999997</v>
      </c>
      <c r="Q44" s="460">
        <f t="shared" si="2"/>
        <v>0.90875843960990244</v>
      </c>
      <c r="R44" s="462"/>
      <c r="S44" s="463"/>
    </row>
    <row r="45" spans="1:19" ht="27">
      <c r="A45" s="1492" t="s">
        <v>2031</v>
      </c>
      <c r="B45" s="1492"/>
      <c r="C45" s="1492"/>
      <c r="D45" s="1492"/>
      <c r="E45" s="1492"/>
      <c r="F45" s="1492"/>
      <c r="G45" s="1492"/>
      <c r="H45" s="1492"/>
      <c r="I45" s="1492"/>
      <c r="J45" s="1492"/>
      <c r="K45" s="1492"/>
      <c r="L45" s="1492"/>
      <c r="M45" s="1492"/>
      <c r="N45" s="1492"/>
      <c r="O45" s="1492"/>
      <c r="P45" s="1492"/>
      <c r="Q45" s="1492"/>
      <c r="R45" s="1492"/>
      <c r="S45" s="1492"/>
    </row>
    <row r="46" spans="1:19" ht="56.25">
      <c r="A46" s="457" t="s">
        <v>2032</v>
      </c>
      <c r="B46" s="471" t="s">
        <v>2033</v>
      </c>
      <c r="C46" s="472" t="s">
        <v>122</v>
      </c>
      <c r="D46" s="428" t="s">
        <v>3276</v>
      </c>
      <c r="E46" s="456">
        <v>9.7799999999999994</v>
      </c>
      <c r="F46" s="456">
        <v>9.7799999999999994</v>
      </c>
      <c r="G46" s="427" t="s">
        <v>60</v>
      </c>
      <c r="H46" s="427" t="s">
        <v>3308</v>
      </c>
      <c r="I46" s="456">
        <v>9.7799999999999994</v>
      </c>
      <c r="J46" s="458">
        <f t="shared" ref="J46:J109" si="6">IF(I46="","",I46/F46)</f>
        <v>1</v>
      </c>
      <c r="K46" s="473">
        <v>43361</v>
      </c>
      <c r="L46" s="456"/>
      <c r="M46" s="467" t="str">
        <f t="shared" ref="M46:M109" si="7">IF(I46="",L46/F46,"")</f>
        <v/>
      </c>
      <c r="N46" s="456">
        <v>9.7799999999999994</v>
      </c>
      <c r="O46" s="467">
        <f t="shared" ref="O46:O109" si="8">N46/F46</f>
        <v>1</v>
      </c>
      <c r="P46" s="456">
        <v>9.7799999999999994</v>
      </c>
      <c r="Q46" s="458">
        <f t="shared" ref="Q46:Q109" si="9">P46/F46</f>
        <v>1</v>
      </c>
      <c r="R46" s="432" t="s">
        <v>1488</v>
      </c>
      <c r="S46" s="436">
        <v>2019</v>
      </c>
    </row>
    <row r="47" spans="1:19" ht="56.25">
      <c r="A47" s="457" t="s">
        <v>2034</v>
      </c>
      <c r="B47" s="471" t="s">
        <v>2035</v>
      </c>
      <c r="C47" s="472" t="s">
        <v>123</v>
      </c>
      <c r="D47" s="428" t="s">
        <v>3276</v>
      </c>
      <c r="E47" s="456">
        <v>1.34</v>
      </c>
      <c r="F47" s="456">
        <v>1.34</v>
      </c>
      <c r="G47" s="427" t="s">
        <v>3309</v>
      </c>
      <c r="H47" s="427" t="s">
        <v>3310</v>
      </c>
      <c r="I47" s="456">
        <v>1.34</v>
      </c>
      <c r="J47" s="458">
        <f t="shared" si="6"/>
        <v>1</v>
      </c>
      <c r="K47" s="473">
        <v>43361</v>
      </c>
      <c r="L47" s="456"/>
      <c r="M47" s="467" t="str">
        <f t="shared" si="7"/>
        <v/>
      </c>
      <c r="N47" s="456">
        <v>1.34</v>
      </c>
      <c r="O47" s="467">
        <f t="shared" si="8"/>
        <v>1</v>
      </c>
      <c r="P47" s="456">
        <v>1.34</v>
      </c>
      <c r="Q47" s="458">
        <f t="shared" si="9"/>
        <v>1</v>
      </c>
      <c r="R47" s="432" t="s">
        <v>1488</v>
      </c>
      <c r="S47" s="436">
        <v>2019</v>
      </c>
    </row>
    <row r="48" spans="1:19" ht="56.25">
      <c r="A48" s="457" t="s">
        <v>2036</v>
      </c>
      <c r="B48" s="471" t="s">
        <v>2035</v>
      </c>
      <c r="C48" s="474" t="s">
        <v>124</v>
      </c>
      <c r="D48" s="428" t="s">
        <v>3276</v>
      </c>
      <c r="E48" s="456">
        <v>1.97</v>
      </c>
      <c r="F48" s="456">
        <v>1.97</v>
      </c>
      <c r="G48" s="427" t="s">
        <v>3310</v>
      </c>
      <c r="H48" s="427" t="s">
        <v>3311</v>
      </c>
      <c r="I48" s="456">
        <v>1.97</v>
      </c>
      <c r="J48" s="458">
        <f t="shared" si="6"/>
        <v>1</v>
      </c>
      <c r="K48" s="473">
        <v>43361</v>
      </c>
      <c r="L48" s="456"/>
      <c r="M48" s="467" t="str">
        <f t="shared" si="7"/>
        <v/>
      </c>
      <c r="N48" s="456">
        <v>1.97</v>
      </c>
      <c r="O48" s="467">
        <f t="shared" si="8"/>
        <v>1</v>
      </c>
      <c r="P48" s="456">
        <v>1.97</v>
      </c>
      <c r="Q48" s="458">
        <f t="shared" si="9"/>
        <v>1</v>
      </c>
      <c r="R48" s="432" t="s">
        <v>1488</v>
      </c>
      <c r="S48" s="436">
        <v>2019</v>
      </c>
    </row>
    <row r="49" spans="1:19" ht="56.25">
      <c r="A49" s="457" t="s">
        <v>2037</v>
      </c>
      <c r="B49" s="471" t="s">
        <v>2035</v>
      </c>
      <c r="C49" s="474" t="s">
        <v>125</v>
      </c>
      <c r="D49" s="428" t="s">
        <v>3276</v>
      </c>
      <c r="E49" s="456">
        <v>1.38</v>
      </c>
      <c r="F49" s="456">
        <v>1.38</v>
      </c>
      <c r="G49" s="427" t="s">
        <v>3311</v>
      </c>
      <c r="H49" s="427" t="s">
        <v>3312</v>
      </c>
      <c r="I49" s="456">
        <v>0.18</v>
      </c>
      <c r="J49" s="458">
        <f t="shared" si="6"/>
        <v>0.13043478260869565</v>
      </c>
      <c r="K49" s="473">
        <v>43361</v>
      </c>
      <c r="L49" s="456"/>
      <c r="M49" s="467" t="str">
        <f t="shared" si="7"/>
        <v/>
      </c>
      <c r="N49" s="456">
        <v>1.35</v>
      </c>
      <c r="O49" s="467">
        <f t="shared" si="8"/>
        <v>0.97826086956521752</v>
      </c>
      <c r="P49" s="456">
        <v>1.38</v>
      </c>
      <c r="Q49" s="458">
        <f t="shared" si="9"/>
        <v>1</v>
      </c>
      <c r="R49" s="432" t="s">
        <v>1488</v>
      </c>
      <c r="S49" s="436">
        <v>2019</v>
      </c>
    </row>
    <row r="50" spans="1:19" ht="56.25">
      <c r="A50" s="457" t="s">
        <v>2038</v>
      </c>
      <c r="B50" s="471" t="s">
        <v>2039</v>
      </c>
      <c r="C50" s="472" t="s">
        <v>126</v>
      </c>
      <c r="D50" s="428" t="s">
        <v>3276</v>
      </c>
      <c r="E50" s="456">
        <v>3.27</v>
      </c>
      <c r="F50" s="456">
        <v>3.27</v>
      </c>
      <c r="G50" s="427" t="s">
        <v>3313</v>
      </c>
      <c r="H50" s="427" t="s">
        <v>3314</v>
      </c>
      <c r="I50" s="456">
        <v>3.02</v>
      </c>
      <c r="J50" s="458">
        <f t="shared" si="6"/>
        <v>0.92354740061162077</v>
      </c>
      <c r="K50" s="473">
        <v>43361</v>
      </c>
      <c r="L50" s="456"/>
      <c r="M50" s="467" t="str">
        <f t="shared" si="7"/>
        <v/>
      </c>
      <c r="N50" s="456">
        <v>3.27</v>
      </c>
      <c r="O50" s="467">
        <f t="shared" si="8"/>
        <v>1</v>
      </c>
      <c r="P50" s="456">
        <v>3.27</v>
      </c>
      <c r="Q50" s="458">
        <f t="shared" si="9"/>
        <v>1</v>
      </c>
      <c r="R50" s="432" t="s">
        <v>1488</v>
      </c>
      <c r="S50" s="436">
        <v>2019</v>
      </c>
    </row>
    <row r="51" spans="1:19" ht="56.25">
      <c r="A51" s="457" t="s">
        <v>2040</v>
      </c>
      <c r="B51" s="471" t="s">
        <v>2041</v>
      </c>
      <c r="C51" s="472" t="s">
        <v>127</v>
      </c>
      <c r="D51" s="428" t="s">
        <v>3276</v>
      </c>
      <c r="E51" s="456">
        <v>2.94</v>
      </c>
      <c r="F51" s="456">
        <v>2.94</v>
      </c>
      <c r="G51" s="427" t="s">
        <v>3313</v>
      </c>
      <c r="H51" s="427" t="s">
        <v>3315</v>
      </c>
      <c r="I51" s="456">
        <v>2.54</v>
      </c>
      <c r="J51" s="458">
        <f t="shared" si="6"/>
        <v>0.86394557823129259</v>
      </c>
      <c r="K51" s="473">
        <v>43361</v>
      </c>
      <c r="L51" s="456"/>
      <c r="M51" s="467" t="str">
        <f t="shared" si="7"/>
        <v/>
      </c>
      <c r="N51" s="456">
        <v>2.94</v>
      </c>
      <c r="O51" s="467">
        <f t="shared" si="8"/>
        <v>1</v>
      </c>
      <c r="P51" s="456">
        <v>2.94</v>
      </c>
      <c r="Q51" s="458">
        <f t="shared" si="9"/>
        <v>1</v>
      </c>
      <c r="R51" s="432" t="s">
        <v>1488</v>
      </c>
      <c r="S51" s="436">
        <v>2019</v>
      </c>
    </row>
    <row r="52" spans="1:19" ht="56.25">
      <c r="A52" s="457" t="s">
        <v>2042</v>
      </c>
      <c r="B52" s="471" t="s">
        <v>2043</v>
      </c>
      <c r="C52" s="472" t="s">
        <v>128</v>
      </c>
      <c r="D52" s="428" t="s">
        <v>3276</v>
      </c>
      <c r="E52" s="456">
        <v>3.02</v>
      </c>
      <c r="F52" s="456">
        <v>3.02</v>
      </c>
      <c r="G52" s="427" t="s">
        <v>3316</v>
      </c>
      <c r="H52" s="427" t="s">
        <v>3317</v>
      </c>
      <c r="I52" s="456">
        <v>3.02</v>
      </c>
      <c r="J52" s="458">
        <f t="shared" si="6"/>
        <v>1</v>
      </c>
      <c r="K52" s="473">
        <v>43361</v>
      </c>
      <c r="L52" s="456"/>
      <c r="M52" s="467" t="str">
        <f t="shared" si="7"/>
        <v/>
      </c>
      <c r="N52" s="456">
        <v>3.02</v>
      </c>
      <c r="O52" s="467">
        <f t="shared" si="8"/>
        <v>1</v>
      </c>
      <c r="P52" s="456">
        <v>3.02</v>
      </c>
      <c r="Q52" s="458">
        <f t="shared" si="9"/>
        <v>1</v>
      </c>
      <c r="R52" s="432" t="s">
        <v>1488</v>
      </c>
      <c r="S52" s="436">
        <v>2019</v>
      </c>
    </row>
    <row r="53" spans="1:19" ht="56.25">
      <c r="A53" s="457" t="s">
        <v>2044</v>
      </c>
      <c r="B53" s="471" t="s">
        <v>2045</v>
      </c>
      <c r="C53" s="472" t="s">
        <v>129</v>
      </c>
      <c r="D53" s="428" t="s">
        <v>3276</v>
      </c>
      <c r="E53" s="456">
        <v>1.24</v>
      </c>
      <c r="F53" s="456">
        <v>1.24</v>
      </c>
      <c r="G53" s="427" t="s">
        <v>3318</v>
      </c>
      <c r="H53" s="427" t="s">
        <v>3319</v>
      </c>
      <c r="I53" s="456">
        <v>1.24</v>
      </c>
      <c r="J53" s="458">
        <f t="shared" si="6"/>
        <v>1</v>
      </c>
      <c r="K53" s="473">
        <v>43361</v>
      </c>
      <c r="L53" s="456"/>
      <c r="M53" s="467" t="str">
        <f t="shared" si="7"/>
        <v/>
      </c>
      <c r="N53" s="456">
        <v>1.24</v>
      </c>
      <c r="O53" s="467">
        <f t="shared" si="8"/>
        <v>1</v>
      </c>
      <c r="P53" s="456">
        <v>1.24</v>
      </c>
      <c r="Q53" s="458">
        <f t="shared" si="9"/>
        <v>1</v>
      </c>
      <c r="R53" s="432" t="s">
        <v>1488</v>
      </c>
      <c r="S53" s="436">
        <v>2019</v>
      </c>
    </row>
    <row r="54" spans="1:19" ht="56.25">
      <c r="A54" s="457" t="s">
        <v>2046</v>
      </c>
      <c r="B54" s="471" t="s">
        <v>2047</v>
      </c>
      <c r="C54" s="472" t="s">
        <v>130</v>
      </c>
      <c r="D54" s="428" t="s">
        <v>3276</v>
      </c>
      <c r="E54" s="456">
        <v>1.6</v>
      </c>
      <c r="F54" s="456">
        <v>1.6</v>
      </c>
      <c r="G54" s="427" t="s">
        <v>3320</v>
      </c>
      <c r="H54" s="427" t="s">
        <v>3321</v>
      </c>
      <c r="I54" s="456">
        <v>1.6</v>
      </c>
      <c r="J54" s="458">
        <f t="shared" si="6"/>
        <v>1</v>
      </c>
      <c r="K54" s="473">
        <v>43361</v>
      </c>
      <c r="L54" s="456"/>
      <c r="M54" s="467" t="str">
        <f t="shared" si="7"/>
        <v/>
      </c>
      <c r="N54" s="456">
        <v>1.6</v>
      </c>
      <c r="O54" s="467">
        <f t="shared" si="8"/>
        <v>1</v>
      </c>
      <c r="P54" s="456">
        <v>1.6</v>
      </c>
      <c r="Q54" s="458">
        <f t="shared" si="9"/>
        <v>1</v>
      </c>
      <c r="R54" s="432" t="s">
        <v>1488</v>
      </c>
      <c r="S54" s="436">
        <v>2019</v>
      </c>
    </row>
    <row r="55" spans="1:19" ht="56.25">
      <c r="A55" s="457" t="s">
        <v>2048</v>
      </c>
      <c r="B55" s="471" t="s">
        <v>2047</v>
      </c>
      <c r="C55" s="472" t="s">
        <v>131</v>
      </c>
      <c r="D55" s="428" t="s">
        <v>3276</v>
      </c>
      <c r="E55" s="456">
        <v>1.31</v>
      </c>
      <c r="F55" s="456">
        <v>1.31</v>
      </c>
      <c r="G55" s="427" t="s">
        <v>3321</v>
      </c>
      <c r="H55" s="427" t="s">
        <v>3322</v>
      </c>
      <c r="I55" s="456">
        <v>1.31</v>
      </c>
      <c r="J55" s="458">
        <f t="shared" si="6"/>
        <v>1</v>
      </c>
      <c r="K55" s="473">
        <v>43361</v>
      </c>
      <c r="L55" s="456"/>
      <c r="M55" s="467" t="str">
        <f t="shared" si="7"/>
        <v/>
      </c>
      <c r="N55" s="456">
        <v>1.31</v>
      </c>
      <c r="O55" s="467">
        <f t="shared" si="8"/>
        <v>1</v>
      </c>
      <c r="P55" s="456">
        <v>1.31</v>
      </c>
      <c r="Q55" s="458">
        <f t="shared" si="9"/>
        <v>1</v>
      </c>
      <c r="R55" s="432" t="s">
        <v>1488</v>
      </c>
      <c r="S55" s="436">
        <v>2019</v>
      </c>
    </row>
    <row r="56" spans="1:19" ht="56.25">
      <c r="A56" s="457" t="s">
        <v>2049</v>
      </c>
      <c r="B56" s="471" t="s">
        <v>2050</v>
      </c>
      <c r="C56" s="472" t="s">
        <v>132</v>
      </c>
      <c r="D56" s="428" t="s">
        <v>3276</v>
      </c>
      <c r="E56" s="456">
        <v>1.1200000000000001</v>
      </c>
      <c r="F56" s="456">
        <v>1.1200000000000001</v>
      </c>
      <c r="G56" s="427" t="s">
        <v>3323</v>
      </c>
      <c r="H56" s="427" t="s">
        <v>3324</v>
      </c>
      <c r="I56" s="456">
        <v>1.1200000000000001</v>
      </c>
      <c r="J56" s="458">
        <f t="shared" si="6"/>
        <v>1</v>
      </c>
      <c r="K56" s="473">
        <v>43361</v>
      </c>
      <c r="L56" s="456"/>
      <c r="M56" s="467" t="str">
        <f t="shared" si="7"/>
        <v/>
      </c>
      <c r="N56" s="456">
        <v>1.1200000000000001</v>
      </c>
      <c r="O56" s="467">
        <f t="shared" si="8"/>
        <v>1</v>
      </c>
      <c r="P56" s="456">
        <v>1.1200000000000001</v>
      </c>
      <c r="Q56" s="458">
        <f t="shared" si="9"/>
        <v>1</v>
      </c>
      <c r="R56" s="432" t="s">
        <v>1488</v>
      </c>
      <c r="S56" s="436">
        <v>2019</v>
      </c>
    </row>
    <row r="57" spans="1:19" ht="56.25">
      <c r="A57" s="457" t="s">
        <v>2051</v>
      </c>
      <c r="B57" s="471" t="s">
        <v>2043</v>
      </c>
      <c r="C57" s="472" t="s">
        <v>133</v>
      </c>
      <c r="D57" s="428" t="s">
        <v>3276</v>
      </c>
      <c r="E57" s="456">
        <v>1.7</v>
      </c>
      <c r="F57" s="456">
        <v>1.7</v>
      </c>
      <c r="G57" s="427" t="s">
        <v>3317</v>
      </c>
      <c r="H57" s="427" t="s">
        <v>3325</v>
      </c>
      <c r="I57" s="25">
        <v>0</v>
      </c>
      <c r="J57" s="458">
        <f t="shared" si="6"/>
        <v>0</v>
      </c>
      <c r="K57" s="473">
        <v>43361</v>
      </c>
      <c r="L57" s="456"/>
      <c r="M57" s="467"/>
      <c r="N57" s="456">
        <v>0</v>
      </c>
      <c r="O57" s="467">
        <f t="shared" si="8"/>
        <v>0</v>
      </c>
      <c r="P57" s="456">
        <v>1.7</v>
      </c>
      <c r="Q57" s="458">
        <f t="shared" si="9"/>
        <v>1</v>
      </c>
      <c r="R57" s="432" t="s">
        <v>1488</v>
      </c>
      <c r="S57" s="436">
        <v>2019</v>
      </c>
    </row>
    <row r="58" spans="1:19" ht="56.25">
      <c r="A58" s="457" t="s">
        <v>2052</v>
      </c>
      <c r="B58" s="471" t="s">
        <v>2053</v>
      </c>
      <c r="C58" s="472" t="s">
        <v>134</v>
      </c>
      <c r="D58" s="428" t="s">
        <v>3276</v>
      </c>
      <c r="E58" s="456">
        <f>3.84+0.12</f>
        <v>3.96</v>
      </c>
      <c r="F58" s="456">
        <v>3.96</v>
      </c>
      <c r="G58" s="427" t="s">
        <v>3326</v>
      </c>
      <c r="H58" s="427" t="s">
        <v>3327</v>
      </c>
      <c r="I58" s="456">
        <v>3.47</v>
      </c>
      <c r="J58" s="458">
        <f t="shared" si="6"/>
        <v>0.8762626262626263</v>
      </c>
      <c r="K58" s="473">
        <v>43361</v>
      </c>
      <c r="L58" s="456"/>
      <c r="M58" s="467" t="str">
        <f t="shared" si="7"/>
        <v/>
      </c>
      <c r="N58" s="456">
        <f>3.84+0.12</f>
        <v>3.96</v>
      </c>
      <c r="O58" s="467">
        <f t="shared" si="8"/>
        <v>1</v>
      </c>
      <c r="P58" s="456">
        <v>3.96</v>
      </c>
      <c r="Q58" s="458">
        <f t="shared" si="9"/>
        <v>1</v>
      </c>
      <c r="R58" s="432" t="s">
        <v>1488</v>
      </c>
      <c r="S58" s="436">
        <v>2019</v>
      </c>
    </row>
    <row r="59" spans="1:19" ht="56.25">
      <c r="A59" s="457" t="s">
        <v>2054</v>
      </c>
      <c r="B59" s="471" t="s">
        <v>2055</v>
      </c>
      <c r="C59" s="472" t="s">
        <v>135</v>
      </c>
      <c r="D59" s="428" t="s">
        <v>3276</v>
      </c>
      <c r="E59" s="456">
        <v>1.4019999999999999</v>
      </c>
      <c r="F59" s="456">
        <v>1.4019999999999999</v>
      </c>
      <c r="G59" s="427" t="s">
        <v>3328</v>
      </c>
      <c r="H59" s="427" t="s">
        <v>3329</v>
      </c>
      <c r="I59" s="456">
        <v>1.4019999999999999</v>
      </c>
      <c r="J59" s="458">
        <f t="shared" si="6"/>
        <v>1</v>
      </c>
      <c r="K59" s="473">
        <v>43361</v>
      </c>
      <c r="L59" s="456"/>
      <c r="M59" s="467" t="str">
        <f t="shared" si="7"/>
        <v/>
      </c>
      <c r="N59" s="456">
        <v>1.4019999999999999</v>
      </c>
      <c r="O59" s="467">
        <f t="shared" si="8"/>
        <v>1</v>
      </c>
      <c r="P59" s="456">
        <v>1.4019999999999999</v>
      </c>
      <c r="Q59" s="458">
        <f t="shared" si="9"/>
        <v>1</v>
      </c>
      <c r="R59" s="432" t="s">
        <v>1488</v>
      </c>
      <c r="S59" s="436">
        <v>2019</v>
      </c>
    </row>
    <row r="60" spans="1:19" ht="56.25">
      <c r="A60" s="457" t="s">
        <v>2056</v>
      </c>
      <c r="B60" s="471" t="s">
        <v>2055</v>
      </c>
      <c r="C60" s="472" t="s">
        <v>136</v>
      </c>
      <c r="D60" s="428" t="s">
        <v>3276</v>
      </c>
      <c r="E60" s="456">
        <v>1.36</v>
      </c>
      <c r="F60" s="456">
        <v>1.36</v>
      </c>
      <c r="G60" s="427" t="s">
        <v>3329</v>
      </c>
      <c r="H60" s="427" t="s">
        <v>3330</v>
      </c>
      <c r="I60" s="456">
        <v>1.36</v>
      </c>
      <c r="J60" s="458">
        <f t="shared" si="6"/>
        <v>1</v>
      </c>
      <c r="K60" s="473">
        <v>43361</v>
      </c>
      <c r="L60" s="456"/>
      <c r="M60" s="467" t="str">
        <f t="shared" si="7"/>
        <v/>
      </c>
      <c r="N60" s="456">
        <v>1.36</v>
      </c>
      <c r="O60" s="467">
        <f t="shared" si="8"/>
        <v>1</v>
      </c>
      <c r="P60" s="456">
        <v>1.36</v>
      </c>
      <c r="Q60" s="458">
        <f t="shared" si="9"/>
        <v>1</v>
      </c>
      <c r="R60" s="432" t="s">
        <v>1488</v>
      </c>
      <c r="S60" s="436">
        <v>2019</v>
      </c>
    </row>
    <row r="61" spans="1:19" ht="56.25">
      <c r="A61" s="457" t="s">
        <v>2057</v>
      </c>
      <c r="B61" s="471" t="s">
        <v>2055</v>
      </c>
      <c r="C61" s="472" t="s">
        <v>137</v>
      </c>
      <c r="D61" s="428" t="s">
        <v>3276</v>
      </c>
      <c r="E61" s="475">
        <v>0.43</v>
      </c>
      <c r="F61" s="456">
        <v>0.43</v>
      </c>
      <c r="G61" s="427" t="s">
        <v>3331</v>
      </c>
      <c r="H61" s="427" t="s">
        <v>3332</v>
      </c>
      <c r="I61" s="456">
        <v>0.43</v>
      </c>
      <c r="J61" s="458">
        <f t="shared" si="6"/>
        <v>1</v>
      </c>
      <c r="K61" s="473">
        <v>43361</v>
      </c>
      <c r="L61" s="456"/>
      <c r="M61" s="467" t="str">
        <f t="shared" si="7"/>
        <v/>
      </c>
      <c r="N61" s="456">
        <v>0.43</v>
      </c>
      <c r="O61" s="467">
        <f t="shared" si="8"/>
        <v>1</v>
      </c>
      <c r="P61" s="456">
        <v>0.43</v>
      </c>
      <c r="Q61" s="458">
        <f t="shared" si="9"/>
        <v>1</v>
      </c>
      <c r="R61" s="432" t="s">
        <v>1488</v>
      </c>
      <c r="S61" s="436">
        <v>2019</v>
      </c>
    </row>
    <row r="62" spans="1:19" ht="56.25">
      <c r="A62" s="457" t="s">
        <v>2058</v>
      </c>
      <c r="B62" s="471" t="s">
        <v>2059</v>
      </c>
      <c r="C62" s="472" t="s">
        <v>138</v>
      </c>
      <c r="D62" s="428" t="s">
        <v>3276</v>
      </c>
      <c r="E62" s="475">
        <v>0.84</v>
      </c>
      <c r="F62" s="456">
        <v>0.84</v>
      </c>
      <c r="G62" s="427" t="s">
        <v>3333</v>
      </c>
      <c r="H62" s="427" t="s">
        <v>3334</v>
      </c>
      <c r="I62" s="456">
        <v>0.84</v>
      </c>
      <c r="J62" s="458">
        <f t="shared" si="6"/>
        <v>1</v>
      </c>
      <c r="K62" s="473">
        <v>43361</v>
      </c>
      <c r="L62" s="456"/>
      <c r="M62" s="467" t="str">
        <f t="shared" si="7"/>
        <v/>
      </c>
      <c r="N62" s="456">
        <v>0.84</v>
      </c>
      <c r="O62" s="467">
        <f t="shared" si="8"/>
        <v>1</v>
      </c>
      <c r="P62" s="456">
        <v>0.84</v>
      </c>
      <c r="Q62" s="458">
        <f t="shared" si="9"/>
        <v>1</v>
      </c>
      <c r="R62" s="432" t="s">
        <v>1488</v>
      </c>
      <c r="S62" s="436">
        <v>2019</v>
      </c>
    </row>
    <row r="63" spans="1:19" ht="56.25">
      <c r="A63" s="457" t="s">
        <v>2060</v>
      </c>
      <c r="B63" s="471" t="s">
        <v>2059</v>
      </c>
      <c r="C63" s="472" t="s">
        <v>139</v>
      </c>
      <c r="D63" s="428" t="s">
        <v>3276</v>
      </c>
      <c r="E63" s="475">
        <v>1.05</v>
      </c>
      <c r="F63" s="456">
        <v>1.05</v>
      </c>
      <c r="G63" s="427" t="s">
        <v>3334</v>
      </c>
      <c r="H63" s="427" t="s">
        <v>3335</v>
      </c>
      <c r="I63" s="456">
        <v>0.46</v>
      </c>
      <c r="J63" s="458">
        <f t="shared" si="6"/>
        <v>0.43809523809523809</v>
      </c>
      <c r="K63" s="473">
        <v>43361</v>
      </c>
      <c r="L63" s="456"/>
      <c r="M63" s="467" t="str">
        <f t="shared" si="7"/>
        <v/>
      </c>
      <c r="N63" s="456">
        <v>0.46</v>
      </c>
      <c r="O63" s="467">
        <f t="shared" si="8"/>
        <v>0.43809523809523809</v>
      </c>
      <c r="P63" s="456">
        <v>1.05</v>
      </c>
      <c r="Q63" s="458">
        <f t="shared" si="9"/>
        <v>1</v>
      </c>
      <c r="R63" s="432" t="s">
        <v>1488</v>
      </c>
      <c r="S63" s="436">
        <v>2019</v>
      </c>
    </row>
    <row r="64" spans="1:19" ht="56.25">
      <c r="A64" s="457" t="s">
        <v>2061</v>
      </c>
      <c r="B64" s="471" t="s">
        <v>2059</v>
      </c>
      <c r="C64" s="472" t="s">
        <v>140</v>
      </c>
      <c r="D64" s="428" t="s">
        <v>3276</v>
      </c>
      <c r="E64" s="475">
        <v>0.32</v>
      </c>
      <c r="F64" s="456">
        <v>0.32</v>
      </c>
      <c r="G64" s="427" t="s">
        <v>3336</v>
      </c>
      <c r="H64" s="427" t="s">
        <v>3333</v>
      </c>
      <c r="I64" s="456">
        <v>0.32</v>
      </c>
      <c r="J64" s="458">
        <f t="shared" si="6"/>
        <v>1</v>
      </c>
      <c r="K64" s="473">
        <v>43361</v>
      </c>
      <c r="L64" s="456"/>
      <c r="M64" s="467" t="str">
        <f t="shared" si="7"/>
        <v/>
      </c>
      <c r="N64" s="456">
        <v>0.32</v>
      </c>
      <c r="O64" s="467">
        <f t="shared" si="8"/>
        <v>1</v>
      </c>
      <c r="P64" s="456">
        <v>0.32</v>
      </c>
      <c r="Q64" s="458">
        <f t="shared" si="9"/>
        <v>1</v>
      </c>
      <c r="R64" s="432" t="s">
        <v>1488</v>
      </c>
      <c r="S64" s="436">
        <v>2019</v>
      </c>
    </row>
    <row r="65" spans="1:19" ht="56.25">
      <c r="A65" s="457" t="s">
        <v>2062</v>
      </c>
      <c r="B65" s="471" t="s">
        <v>2063</v>
      </c>
      <c r="C65" s="472" t="s">
        <v>141</v>
      </c>
      <c r="D65" s="428" t="s">
        <v>3276</v>
      </c>
      <c r="E65" s="475">
        <v>2.95</v>
      </c>
      <c r="F65" s="456">
        <v>2.95</v>
      </c>
      <c r="G65" s="427" t="s">
        <v>3313</v>
      </c>
      <c r="H65" s="427" t="s">
        <v>3337</v>
      </c>
      <c r="I65" s="456">
        <v>1.85</v>
      </c>
      <c r="J65" s="458">
        <f t="shared" si="6"/>
        <v>0.6271186440677966</v>
      </c>
      <c r="K65" s="473">
        <v>43361</v>
      </c>
      <c r="L65" s="456"/>
      <c r="M65" s="467" t="str">
        <f t="shared" si="7"/>
        <v/>
      </c>
      <c r="N65" s="456">
        <v>2.95</v>
      </c>
      <c r="O65" s="467">
        <f t="shared" si="8"/>
        <v>1</v>
      </c>
      <c r="P65" s="456">
        <v>2.95</v>
      </c>
      <c r="Q65" s="458">
        <f t="shared" si="9"/>
        <v>1</v>
      </c>
      <c r="R65" s="432" t="s">
        <v>1488</v>
      </c>
      <c r="S65" s="436">
        <v>2019</v>
      </c>
    </row>
    <row r="66" spans="1:19" ht="56.25">
      <c r="A66" s="457" t="s">
        <v>2064</v>
      </c>
      <c r="B66" s="471" t="s">
        <v>2065</v>
      </c>
      <c r="C66" s="472" t="s">
        <v>142</v>
      </c>
      <c r="D66" s="428" t="s">
        <v>3276</v>
      </c>
      <c r="E66" s="475">
        <v>0.35</v>
      </c>
      <c r="F66" s="456">
        <v>0.35</v>
      </c>
      <c r="G66" s="427" t="s">
        <v>3313</v>
      </c>
      <c r="H66" s="427" t="s">
        <v>3338</v>
      </c>
      <c r="I66" s="456">
        <v>0.35</v>
      </c>
      <c r="J66" s="458">
        <f t="shared" si="6"/>
        <v>1</v>
      </c>
      <c r="K66" s="473">
        <v>43361</v>
      </c>
      <c r="L66" s="456"/>
      <c r="M66" s="467" t="str">
        <f t="shared" si="7"/>
        <v/>
      </c>
      <c r="N66" s="456">
        <v>0.35</v>
      </c>
      <c r="O66" s="467">
        <f t="shared" si="8"/>
        <v>1</v>
      </c>
      <c r="P66" s="456">
        <v>0.35</v>
      </c>
      <c r="Q66" s="458">
        <f t="shared" si="9"/>
        <v>1</v>
      </c>
      <c r="R66" s="432" t="s">
        <v>1488</v>
      </c>
      <c r="S66" s="436">
        <v>2019</v>
      </c>
    </row>
    <row r="67" spans="1:19" ht="56.25">
      <c r="A67" s="457" t="s">
        <v>2066</v>
      </c>
      <c r="B67" s="471" t="s">
        <v>2067</v>
      </c>
      <c r="C67" s="472" t="s">
        <v>143</v>
      </c>
      <c r="D67" s="428" t="s">
        <v>3276</v>
      </c>
      <c r="E67" s="475">
        <v>0.27</v>
      </c>
      <c r="F67" s="456">
        <v>0.27</v>
      </c>
      <c r="G67" s="427" t="s">
        <v>3313</v>
      </c>
      <c r="H67" s="427" t="s">
        <v>3339</v>
      </c>
      <c r="I67" s="456">
        <v>0.27</v>
      </c>
      <c r="J67" s="458">
        <f t="shared" si="6"/>
        <v>1</v>
      </c>
      <c r="K67" s="473">
        <v>43361</v>
      </c>
      <c r="L67" s="456"/>
      <c r="M67" s="467" t="str">
        <f t="shared" si="7"/>
        <v/>
      </c>
      <c r="N67" s="456">
        <v>0.27</v>
      </c>
      <c r="O67" s="467">
        <f t="shared" si="8"/>
        <v>1</v>
      </c>
      <c r="P67" s="456">
        <v>0.27</v>
      </c>
      <c r="Q67" s="458">
        <f t="shared" si="9"/>
        <v>1</v>
      </c>
      <c r="R67" s="432" t="s">
        <v>1488</v>
      </c>
      <c r="S67" s="436">
        <v>2019</v>
      </c>
    </row>
    <row r="68" spans="1:19" ht="56.25">
      <c r="A68" s="457" t="s">
        <v>2068</v>
      </c>
      <c r="B68" s="471" t="s">
        <v>2069</v>
      </c>
      <c r="C68" s="472" t="s">
        <v>144</v>
      </c>
      <c r="D68" s="428" t="s">
        <v>3276</v>
      </c>
      <c r="E68" s="475">
        <v>0.72</v>
      </c>
      <c r="F68" s="456">
        <v>0.72</v>
      </c>
      <c r="G68" s="427" t="s">
        <v>3340</v>
      </c>
      <c r="H68" s="427" t="s">
        <v>3341</v>
      </c>
      <c r="I68" s="25">
        <v>0</v>
      </c>
      <c r="J68" s="458">
        <f t="shared" si="6"/>
        <v>0</v>
      </c>
      <c r="K68" s="473">
        <v>43361</v>
      </c>
      <c r="L68" s="456"/>
      <c r="M68" s="467" t="str">
        <f t="shared" si="7"/>
        <v/>
      </c>
      <c r="N68" s="456">
        <v>0.72</v>
      </c>
      <c r="O68" s="467">
        <f t="shared" si="8"/>
        <v>1</v>
      </c>
      <c r="P68" s="456">
        <v>0.72</v>
      </c>
      <c r="Q68" s="458">
        <f t="shared" si="9"/>
        <v>1</v>
      </c>
      <c r="R68" s="432" t="s">
        <v>1488</v>
      </c>
      <c r="S68" s="436">
        <v>2019</v>
      </c>
    </row>
    <row r="69" spans="1:19" ht="56.25">
      <c r="A69" s="457" t="s">
        <v>2070</v>
      </c>
      <c r="B69" s="471" t="s">
        <v>2069</v>
      </c>
      <c r="C69" s="472" t="s">
        <v>145</v>
      </c>
      <c r="D69" s="428" t="s">
        <v>3276</v>
      </c>
      <c r="E69" s="475">
        <v>0.5</v>
      </c>
      <c r="F69" s="456">
        <v>0.5</v>
      </c>
      <c r="G69" s="427" t="s">
        <v>3328</v>
      </c>
      <c r="H69" s="427" t="s">
        <v>3340</v>
      </c>
      <c r="I69" s="456">
        <v>0.5</v>
      </c>
      <c r="J69" s="458">
        <f t="shared" si="6"/>
        <v>1</v>
      </c>
      <c r="K69" s="473">
        <v>43361</v>
      </c>
      <c r="L69" s="456"/>
      <c r="M69" s="467" t="str">
        <f t="shared" si="7"/>
        <v/>
      </c>
      <c r="N69" s="456">
        <v>0.5</v>
      </c>
      <c r="O69" s="467">
        <f t="shared" si="8"/>
        <v>1</v>
      </c>
      <c r="P69" s="456">
        <v>0.5</v>
      </c>
      <c r="Q69" s="458">
        <f t="shared" si="9"/>
        <v>1</v>
      </c>
      <c r="R69" s="432" t="s">
        <v>1488</v>
      </c>
      <c r="S69" s="436">
        <v>2019</v>
      </c>
    </row>
    <row r="70" spans="1:19" ht="56.25">
      <c r="A70" s="457" t="s">
        <v>2071</v>
      </c>
      <c r="B70" s="471" t="s">
        <v>2072</v>
      </c>
      <c r="C70" s="472" t="s">
        <v>146</v>
      </c>
      <c r="D70" s="428" t="s">
        <v>3276</v>
      </c>
      <c r="E70" s="475">
        <v>0.73</v>
      </c>
      <c r="F70" s="456">
        <v>0.73</v>
      </c>
      <c r="G70" s="427" t="s">
        <v>3313</v>
      </c>
      <c r="H70" s="427" t="s">
        <v>2625</v>
      </c>
      <c r="I70" s="25">
        <v>0</v>
      </c>
      <c r="J70" s="458">
        <f t="shared" si="6"/>
        <v>0</v>
      </c>
      <c r="K70" s="473">
        <v>43361</v>
      </c>
      <c r="L70" s="456"/>
      <c r="M70" s="467" t="str">
        <f t="shared" si="7"/>
        <v/>
      </c>
      <c r="N70" s="456">
        <v>0</v>
      </c>
      <c r="O70" s="467">
        <f t="shared" si="8"/>
        <v>0</v>
      </c>
      <c r="P70" s="456">
        <v>0.73</v>
      </c>
      <c r="Q70" s="458">
        <f t="shared" si="9"/>
        <v>1</v>
      </c>
      <c r="R70" s="432" t="s">
        <v>1488</v>
      </c>
      <c r="S70" s="436">
        <v>2019</v>
      </c>
    </row>
    <row r="71" spans="1:19" ht="56.25">
      <c r="A71" s="457" t="s">
        <v>2073</v>
      </c>
      <c r="B71" s="471" t="s">
        <v>2074</v>
      </c>
      <c r="C71" s="472" t="s">
        <v>147</v>
      </c>
      <c r="D71" s="428" t="s">
        <v>3276</v>
      </c>
      <c r="E71" s="475">
        <v>2.17</v>
      </c>
      <c r="F71" s="456">
        <v>2.17</v>
      </c>
      <c r="G71" s="427" t="s">
        <v>2625</v>
      </c>
      <c r="H71" s="427" t="s">
        <v>3338</v>
      </c>
      <c r="I71" s="456">
        <v>1.54</v>
      </c>
      <c r="J71" s="458">
        <f t="shared" si="6"/>
        <v>0.70967741935483875</v>
      </c>
      <c r="K71" s="473">
        <v>43361</v>
      </c>
      <c r="L71" s="456"/>
      <c r="M71" s="467" t="str">
        <f t="shared" si="7"/>
        <v/>
      </c>
      <c r="N71" s="456">
        <v>1.54</v>
      </c>
      <c r="O71" s="467">
        <f t="shared" si="8"/>
        <v>0.70967741935483875</v>
      </c>
      <c r="P71" s="456">
        <v>2.17</v>
      </c>
      <c r="Q71" s="458">
        <f t="shared" si="9"/>
        <v>1</v>
      </c>
      <c r="R71" s="432" t="s">
        <v>1488</v>
      </c>
      <c r="S71" s="436">
        <v>2019</v>
      </c>
    </row>
    <row r="72" spans="1:19" ht="56.25">
      <c r="A72" s="457" t="s">
        <v>2075</v>
      </c>
      <c r="B72" s="471" t="s">
        <v>2076</v>
      </c>
      <c r="C72" s="472" t="s">
        <v>148</v>
      </c>
      <c r="D72" s="428" t="s">
        <v>3276</v>
      </c>
      <c r="E72" s="475">
        <v>1.45</v>
      </c>
      <c r="F72" s="456">
        <v>1.45</v>
      </c>
      <c r="G72" s="427" t="s">
        <v>3342</v>
      </c>
      <c r="H72" s="427" t="s">
        <v>3315</v>
      </c>
      <c r="I72" s="456">
        <v>1.45</v>
      </c>
      <c r="J72" s="458">
        <f t="shared" si="6"/>
        <v>1</v>
      </c>
      <c r="K72" s="473">
        <v>43361</v>
      </c>
      <c r="L72" s="456"/>
      <c r="M72" s="467" t="str">
        <f t="shared" si="7"/>
        <v/>
      </c>
      <c r="N72" s="456">
        <v>1.45</v>
      </c>
      <c r="O72" s="467">
        <f t="shared" si="8"/>
        <v>1</v>
      </c>
      <c r="P72" s="456">
        <v>1.45</v>
      </c>
      <c r="Q72" s="458">
        <f t="shared" si="9"/>
        <v>1</v>
      </c>
      <c r="R72" s="432" t="s">
        <v>1488</v>
      </c>
      <c r="S72" s="436">
        <v>2019</v>
      </c>
    </row>
    <row r="73" spans="1:19" ht="56.25">
      <c r="A73" s="457" t="s">
        <v>2077</v>
      </c>
      <c r="B73" s="471" t="s">
        <v>2078</v>
      </c>
      <c r="C73" s="472" t="s">
        <v>149</v>
      </c>
      <c r="D73" s="428" t="s">
        <v>3276</v>
      </c>
      <c r="E73" s="475">
        <v>1.72</v>
      </c>
      <c r="F73" s="456">
        <v>1.72</v>
      </c>
      <c r="G73" s="427" t="s">
        <v>3343</v>
      </c>
      <c r="H73" s="427" t="s">
        <v>3344</v>
      </c>
      <c r="I73" s="456">
        <v>1.61</v>
      </c>
      <c r="J73" s="458">
        <f t="shared" si="6"/>
        <v>0.93604651162790709</v>
      </c>
      <c r="K73" s="473">
        <v>43361</v>
      </c>
      <c r="L73" s="456"/>
      <c r="M73" s="467" t="str">
        <f t="shared" si="7"/>
        <v/>
      </c>
      <c r="N73" s="456">
        <v>1.61</v>
      </c>
      <c r="O73" s="467">
        <f t="shared" si="8"/>
        <v>0.93604651162790709</v>
      </c>
      <c r="P73" s="456">
        <v>1.7200000000000002</v>
      </c>
      <c r="Q73" s="458">
        <f t="shared" si="9"/>
        <v>1.0000000000000002</v>
      </c>
      <c r="R73" s="432" t="s">
        <v>1488</v>
      </c>
      <c r="S73" s="436">
        <v>2019</v>
      </c>
    </row>
    <row r="74" spans="1:19" ht="56.25">
      <c r="A74" s="457" t="s">
        <v>2079</v>
      </c>
      <c r="B74" s="471" t="s">
        <v>2080</v>
      </c>
      <c r="C74" s="472" t="s">
        <v>150</v>
      </c>
      <c r="D74" s="428" t="s">
        <v>3276</v>
      </c>
      <c r="E74" s="475">
        <v>0.8</v>
      </c>
      <c r="F74" s="456">
        <v>0.8</v>
      </c>
      <c r="G74" s="427" t="s">
        <v>3345</v>
      </c>
      <c r="H74" s="427" t="s">
        <v>3315</v>
      </c>
      <c r="I74" s="456">
        <v>0.8</v>
      </c>
      <c r="J74" s="458">
        <f t="shared" si="6"/>
        <v>1</v>
      </c>
      <c r="K74" s="473">
        <v>43361</v>
      </c>
      <c r="L74" s="456"/>
      <c r="M74" s="467" t="str">
        <f t="shared" si="7"/>
        <v/>
      </c>
      <c r="N74" s="456">
        <v>0.8</v>
      </c>
      <c r="O74" s="467">
        <f t="shared" si="8"/>
        <v>1</v>
      </c>
      <c r="P74" s="456">
        <v>0.8</v>
      </c>
      <c r="Q74" s="458">
        <f t="shared" si="9"/>
        <v>1</v>
      </c>
      <c r="R74" s="432" t="s">
        <v>1488</v>
      </c>
      <c r="S74" s="436">
        <v>2019</v>
      </c>
    </row>
    <row r="75" spans="1:19" ht="56.25">
      <c r="A75" s="457" t="s">
        <v>2081</v>
      </c>
      <c r="B75" s="471" t="s">
        <v>2050</v>
      </c>
      <c r="C75" s="472" t="s">
        <v>151</v>
      </c>
      <c r="D75" s="428" t="s">
        <v>3276</v>
      </c>
      <c r="E75" s="475">
        <v>0.75</v>
      </c>
      <c r="F75" s="456">
        <v>0.75</v>
      </c>
      <c r="G75" s="427" t="s">
        <v>3323</v>
      </c>
      <c r="H75" s="427" t="s">
        <v>3346</v>
      </c>
      <c r="I75" s="25">
        <v>0</v>
      </c>
      <c r="J75" s="458">
        <f t="shared" si="6"/>
        <v>0</v>
      </c>
      <c r="K75" s="473">
        <v>43361</v>
      </c>
      <c r="L75" s="456"/>
      <c r="M75" s="467" t="str">
        <f t="shared" si="7"/>
        <v/>
      </c>
      <c r="N75" s="456">
        <v>0.75</v>
      </c>
      <c r="O75" s="467">
        <f t="shared" si="8"/>
        <v>1</v>
      </c>
      <c r="P75" s="456">
        <v>0.75</v>
      </c>
      <c r="Q75" s="458">
        <f t="shared" si="9"/>
        <v>1</v>
      </c>
      <c r="R75" s="432" t="s">
        <v>1488</v>
      </c>
      <c r="S75" s="436">
        <v>2019</v>
      </c>
    </row>
    <row r="76" spans="1:19" ht="56.25">
      <c r="A76" s="457" t="s">
        <v>2082</v>
      </c>
      <c r="B76" s="471" t="s">
        <v>2050</v>
      </c>
      <c r="C76" s="472" t="s">
        <v>152</v>
      </c>
      <c r="D76" s="428" t="s">
        <v>3276</v>
      </c>
      <c r="E76" s="475">
        <v>0.92</v>
      </c>
      <c r="F76" s="456">
        <v>0.92</v>
      </c>
      <c r="G76" s="427" t="s">
        <v>3324</v>
      </c>
      <c r="H76" s="427" t="s">
        <v>3347</v>
      </c>
      <c r="I76" s="456">
        <v>0.92</v>
      </c>
      <c r="J76" s="458">
        <f t="shared" si="6"/>
        <v>1</v>
      </c>
      <c r="K76" s="473">
        <v>43361</v>
      </c>
      <c r="L76" s="456"/>
      <c r="M76" s="467" t="str">
        <f t="shared" si="7"/>
        <v/>
      </c>
      <c r="N76" s="456">
        <v>0.92</v>
      </c>
      <c r="O76" s="467">
        <f t="shared" si="8"/>
        <v>1</v>
      </c>
      <c r="P76" s="456">
        <v>0.92</v>
      </c>
      <c r="Q76" s="458">
        <f t="shared" si="9"/>
        <v>1</v>
      </c>
      <c r="R76" s="432" t="s">
        <v>1488</v>
      </c>
      <c r="S76" s="436">
        <v>2019</v>
      </c>
    </row>
    <row r="77" spans="1:19" ht="56.25">
      <c r="A77" s="457" t="s">
        <v>2083</v>
      </c>
      <c r="B77" s="471" t="s">
        <v>2084</v>
      </c>
      <c r="C77" s="472" t="s">
        <v>153</v>
      </c>
      <c r="D77" s="428" t="s">
        <v>3276</v>
      </c>
      <c r="E77" s="475">
        <v>0.1</v>
      </c>
      <c r="F77" s="456">
        <v>0.1</v>
      </c>
      <c r="G77" s="427" t="s">
        <v>3318</v>
      </c>
      <c r="H77" s="427" t="s">
        <v>3348</v>
      </c>
      <c r="I77" s="456">
        <v>0.1</v>
      </c>
      <c r="J77" s="458">
        <f t="shared" si="6"/>
        <v>1</v>
      </c>
      <c r="K77" s="473">
        <v>43361</v>
      </c>
      <c r="L77" s="456"/>
      <c r="M77" s="467" t="str">
        <f t="shared" si="7"/>
        <v/>
      </c>
      <c r="N77" s="456">
        <v>0.1</v>
      </c>
      <c r="O77" s="467">
        <f t="shared" si="8"/>
        <v>1</v>
      </c>
      <c r="P77" s="456">
        <v>0.1</v>
      </c>
      <c r="Q77" s="458">
        <f t="shared" si="9"/>
        <v>1</v>
      </c>
      <c r="R77" s="432" t="s">
        <v>1488</v>
      </c>
      <c r="S77" s="436">
        <v>2019</v>
      </c>
    </row>
    <row r="78" spans="1:19" ht="56.25">
      <c r="A78" s="457" t="s">
        <v>2085</v>
      </c>
      <c r="B78" s="471" t="s">
        <v>2086</v>
      </c>
      <c r="C78" s="472" t="s">
        <v>154</v>
      </c>
      <c r="D78" s="428" t="s">
        <v>3276</v>
      </c>
      <c r="E78" s="475">
        <v>0.15</v>
      </c>
      <c r="F78" s="456">
        <v>0.15</v>
      </c>
      <c r="G78" s="427" t="s">
        <v>3349</v>
      </c>
      <c r="H78" s="427" t="s">
        <v>3350</v>
      </c>
      <c r="I78" s="25">
        <v>0</v>
      </c>
      <c r="J78" s="458">
        <f t="shared" si="6"/>
        <v>0</v>
      </c>
      <c r="K78" s="473">
        <v>43361</v>
      </c>
      <c r="L78" s="456"/>
      <c r="M78" s="467" t="str">
        <f t="shared" si="7"/>
        <v/>
      </c>
      <c r="N78" s="456">
        <v>0</v>
      </c>
      <c r="O78" s="467">
        <f t="shared" si="8"/>
        <v>0</v>
      </c>
      <c r="P78" s="456">
        <v>0.15</v>
      </c>
      <c r="Q78" s="458">
        <f t="shared" si="9"/>
        <v>1</v>
      </c>
      <c r="R78" s="432" t="s">
        <v>1488</v>
      </c>
      <c r="S78" s="436">
        <v>2019</v>
      </c>
    </row>
    <row r="79" spans="1:19" ht="56.25">
      <c r="A79" s="457" t="s">
        <v>2087</v>
      </c>
      <c r="B79" s="471" t="s">
        <v>2088</v>
      </c>
      <c r="C79" s="472" t="s">
        <v>1285</v>
      </c>
      <c r="D79" s="428" t="s">
        <v>3276</v>
      </c>
      <c r="E79" s="475">
        <v>1.7450000000000001</v>
      </c>
      <c r="F79" s="456">
        <v>1.7450000000000001</v>
      </c>
      <c r="G79" s="427" t="s">
        <v>3351</v>
      </c>
      <c r="H79" s="427" t="s">
        <v>3332</v>
      </c>
      <c r="I79" s="25">
        <v>0</v>
      </c>
      <c r="J79" s="458">
        <f t="shared" si="6"/>
        <v>0</v>
      </c>
      <c r="K79" s="473">
        <v>43361</v>
      </c>
      <c r="L79" s="456"/>
      <c r="M79" s="467" t="str">
        <f t="shared" si="7"/>
        <v/>
      </c>
      <c r="N79" s="456">
        <v>0</v>
      </c>
      <c r="O79" s="467">
        <f t="shared" si="8"/>
        <v>0</v>
      </c>
      <c r="P79" s="456">
        <v>1.7450000000000001</v>
      </c>
      <c r="Q79" s="458">
        <f t="shared" si="9"/>
        <v>1</v>
      </c>
      <c r="R79" s="432" t="s">
        <v>1488</v>
      </c>
      <c r="S79" s="436">
        <v>2019</v>
      </c>
    </row>
    <row r="80" spans="1:19" ht="56.25">
      <c r="A80" s="457" t="s">
        <v>2089</v>
      </c>
      <c r="B80" s="471" t="s">
        <v>2088</v>
      </c>
      <c r="C80" s="472" t="s">
        <v>156</v>
      </c>
      <c r="D80" s="428" t="s">
        <v>3276</v>
      </c>
      <c r="E80" s="475">
        <v>1.0549999999999999</v>
      </c>
      <c r="F80" s="475">
        <v>1.0549999999999999</v>
      </c>
      <c r="G80" s="427" t="s">
        <v>3352</v>
      </c>
      <c r="H80" s="427" t="s">
        <v>3353</v>
      </c>
      <c r="I80" s="25">
        <v>0</v>
      </c>
      <c r="J80" s="458">
        <f t="shared" si="6"/>
        <v>0</v>
      </c>
      <c r="K80" s="473">
        <v>43361</v>
      </c>
      <c r="L80" s="456"/>
      <c r="M80" s="467" t="str">
        <f t="shared" si="7"/>
        <v/>
      </c>
      <c r="N80" s="456">
        <v>0</v>
      </c>
      <c r="O80" s="467">
        <f t="shared" si="8"/>
        <v>0</v>
      </c>
      <c r="P80" s="456">
        <v>1.0549999999999999</v>
      </c>
      <c r="Q80" s="458">
        <f t="shared" si="9"/>
        <v>1</v>
      </c>
      <c r="R80" s="432" t="s">
        <v>1488</v>
      </c>
      <c r="S80" s="436">
        <v>2019</v>
      </c>
    </row>
    <row r="81" spans="1:19" ht="56.25">
      <c r="A81" s="457" t="s">
        <v>2090</v>
      </c>
      <c r="B81" s="471" t="s">
        <v>2091</v>
      </c>
      <c r="C81" s="472" t="s">
        <v>157</v>
      </c>
      <c r="D81" s="428" t="s">
        <v>3276</v>
      </c>
      <c r="E81" s="475">
        <v>0.27</v>
      </c>
      <c r="F81" s="456">
        <v>0.27</v>
      </c>
      <c r="G81" s="427" t="s">
        <v>3313</v>
      </c>
      <c r="H81" s="427" t="s">
        <v>3354</v>
      </c>
      <c r="I81" s="25">
        <v>0</v>
      </c>
      <c r="J81" s="458">
        <f t="shared" si="6"/>
        <v>0</v>
      </c>
      <c r="K81" s="473">
        <v>43361</v>
      </c>
      <c r="L81" s="456"/>
      <c r="M81" s="467" t="str">
        <f t="shared" si="7"/>
        <v/>
      </c>
      <c r="N81" s="456">
        <v>0</v>
      </c>
      <c r="O81" s="467">
        <f t="shared" si="8"/>
        <v>0</v>
      </c>
      <c r="P81" s="456">
        <v>0.27</v>
      </c>
      <c r="Q81" s="458">
        <f t="shared" si="9"/>
        <v>1</v>
      </c>
      <c r="R81" s="432" t="s">
        <v>1488</v>
      </c>
      <c r="S81" s="436">
        <v>2019</v>
      </c>
    </row>
    <row r="82" spans="1:19" ht="75">
      <c r="A82" s="457" t="s">
        <v>2092</v>
      </c>
      <c r="B82" s="471" t="s">
        <v>2093</v>
      </c>
      <c r="C82" s="472" t="s">
        <v>158</v>
      </c>
      <c r="D82" s="428" t="s">
        <v>3276</v>
      </c>
      <c r="E82" s="475">
        <v>0.93700000000000006</v>
      </c>
      <c r="F82" s="456">
        <v>0.93700000000000006</v>
      </c>
      <c r="G82" s="427" t="s">
        <v>3355</v>
      </c>
      <c r="H82" s="427" t="s">
        <v>3356</v>
      </c>
      <c r="I82" s="25">
        <v>0</v>
      </c>
      <c r="J82" s="458">
        <f t="shared" si="6"/>
        <v>0</v>
      </c>
      <c r="K82" s="473">
        <v>43361</v>
      </c>
      <c r="L82" s="456"/>
      <c r="M82" s="467" t="str">
        <f t="shared" si="7"/>
        <v/>
      </c>
      <c r="N82" s="456">
        <v>0.9</v>
      </c>
      <c r="O82" s="467">
        <f t="shared" si="8"/>
        <v>0.96051227321237986</v>
      </c>
      <c r="P82" s="456">
        <v>0.93700000000000006</v>
      </c>
      <c r="Q82" s="458">
        <f t="shared" si="9"/>
        <v>1</v>
      </c>
      <c r="R82" s="432" t="s">
        <v>1488</v>
      </c>
      <c r="S82" s="436">
        <v>2019</v>
      </c>
    </row>
    <row r="83" spans="1:19" ht="56.25">
      <c r="A83" s="457" t="s">
        <v>2094</v>
      </c>
      <c r="B83" s="471" t="s">
        <v>2095</v>
      </c>
      <c r="C83" s="472" t="s">
        <v>159</v>
      </c>
      <c r="D83" s="428" t="s">
        <v>3276</v>
      </c>
      <c r="E83" s="475">
        <v>0.31</v>
      </c>
      <c r="F83" s="456">
        <v>0.31</v>
      </c>
      <c r="G83" s="427" t="s">
        <v>3311</v>
      </c>
      <c r="H83" s="427" t="s">
        <v>3357</v>
      </c>
      <c r="I83" s="456">
        <v>0.25</v>
      </c>
      <c r="J83" s="458">
        <f t="shared" si="6"/>
        <v>0.80645161290322587</v>
      </c>
      <c r="K83" s="473">
        <v>43361</v>
      </c>
      <c r="L83" s="456"/>
      <c r="M83" s="467" t="str">
        <f t="shared" si="7"/>
        <v/>
      </c>
      <c r="N83" s="456">
        <v>0.31</v>
      </c>
      <c r="O83" s="467">
        <f t="shared" si="8"/>
        <v>1</v>
      </c>
      <c r="P83" s="456">
        <v>0.31</v>
      </c>
      <c r="Q83" s="458">
        <f t="shared" si="9"/>
        <v>1</v>
      </c>
      <c r="R83" s="432" t="s">
        <v>1488</v>
      </c>
      <c r="S83" s="436">
        <v>2019</v>
      </c>
    </row>
    <row r="84" spans="1:19" ht="56.25">
      <c r="A84" s="457" t="s">
        <v>2096</v>
      </c>
      <c r="B84" s="471" t="s">
        <v>2097</v>
      </c>
      <c r="C84" s="472" t="s">
        <v>160</v>
      </c>
      <c r="D84" s="428" t="s">
        <v>3276</v>
      </c>
      <c r="E84" s="475">
        <v>8.9700000000000006</v>
      </c>
      <c r="F84" s="456">
        <v>8.9700000000000006</v>
      </c>
      <c r="G84" s="427" t="s">
        <v>3328</v>
      </c>
      <c r="H84" s="427" t="s">
        <v>3358</v>
      </c>
      <c r="I84" s="456">
        <v>4.17</v>
      </c>
      <c r="J84" s="458">
        <f t="shared" si="6"/>
        <v>0.46488294314381268</v>
      </c>
      <c r="K84" s="473">
        <v>43361</v>
      </c>
      <c r="L84" s="456"/>
      <c r="M84" s="467" t="str">
        <f t="shared" si="7"/>
        <v/>
      </c>
      <c r="N84" s="456">
        <v>8.9600000000000009</v>
      </c>
      <c r="O84" s="467">
        <f t="shared" si="8"/>
        <v>0.99888517279821631</v>
      </c>
      <c r="P84" s="456">
        <v>8.9700000000000006</v>
      </c>
      <c r="Q84" s="458">
        <f t="shared" si="9"/>
        <v>1</v>
      </c>
      <c r="R84" s="432" t="s">
        <v>1488</v>
      </c>
      <c r="S84" s="436">
        <v>2019</v>
      </c>
    </row>
    <row r="85" spans="1:19" ht="56.25">
      <c r="A85" s="457" t="s">
        <v>2098</v>
      </c>
      <c r="B85" s="471" t="s">
        <v>2099</v>
      </c>
      <c r="C85" s="472" t="s">
        <v>161</v>
      </c>
      <c r="D85" s="428" t="s">
        <v>3276</v>
      </c>
      <c r="E85" s="475">
        <v>0.71</v>
      </c>
      <c r="F85" s="456">
        <v>0.71</v>
      </c>
      <c r="G85" s="427" t="s">
        <v>3328</v>
      </c>
      <c r="H85" s="427" t="s">
        <v>3338</v>
      </c>
      <c r="I85" s="456">
        <v>0.71</v>
      </c>
      <c r="J85" s="458">
        <f t="shared" si="6"/>
        <v>1</v>
      </c>
      <c r="K85" s="473">
        <v>43361</v>
      </c>
      <c r="L85" s="456"/>
      <c r="M85" s="467" t="str">
        <f t="shared" si="7"/>
        <v/>
      </c>
      <c r="N85" s="456">
        <v>0.71</v>
      </c>
      <c r="O85" s="467">
        <f t="shared" si="8"/>
        <v>1</v>
      </c>
      <c r="P85" s="456">
        <v>0.71</v>
      </c>
      <c r="Q85" s="458">
        <f t="shared" si="9"/>
        <v>1</v>
      </c>
      <c r="R85" s="432" t="s">
        <v>1488</v>
      </c>
      <c r="S85" s="436">
        <v>2019</v>
      </c>
    </row>
    <row r="86" spans="1:19" ht="56.25">
      <c r="A86" s="457" t="s">
        <v>2100</v>
      </c>
      <c r="B86" s="471" t="s">
        <v>2101</v>
      </c>
      <c r="C86" s="472" t="s">
        <v>162</v>
      </c>
      <c r="D86" s="428" t="s">
        <v>3276</v>
      </c>
      <c r="E86" s="475">
        <v>2.0699999999999998</v>
      </c>
      <c r="F86" s="456">
        <v>2.0699999999999998</v>
      </c>
      <c r="G86" s="427" t="s">
        <v>3359</v>
      </c>
      <c r="H86" s="427" t="s">
        <v>3360</v>
      </c>
      <c r="I86" s="456">
        <v>2.0699999999999998</v>
      </c>
      <c r="J86" s="458">
        <f t="shared" si="6"/>
        <v>1</v>
      </c>
      <c r="K86" s="473">
        <v>43361</v>
      </c>
      <c r="L86" s="456"/>
      <c r="M86" s="467" t="str">
        <f t="shared" si="7"/>
        <v/>
      </c>
      <c r="N86" s="456">
        <v>2.0699999999999998</v>
      </c>
      <c r="O86" s="467">
        <f t="shared" si="8"/>
        <v>1</v>
      </c>
      <c r="P86" s="456">
        <v>2.0699999999999998</v>
      </c>
      <c r="Q86" s="458">
        <f t="shared" si="9"/>
        <v>1</v>
      </c>
      <c r="R86" s="432" t="s">
        <v>1488</v>
      </c>
      <c r="S86" s="436">
        <v>2019</v>
      </c>
    </row>
    <row r="87" spans="1:19" ht="56.25">
      <c r="A87" s="457" t="s">
        <v>2102</v>
      </c>
      <c r="B87" s="471" t="s">
        <v>2103</v>
      </c>
      <c r="C87" s="472" t="s">
        <v>163</v>
      </c>
      <c r="D87" s="428" t="s">
        <v>3276</v>
      </c>
      <c r="E87" s="475">
        <v>1.42</v>
      </c>
      <c r="F87" s="456">
        <v>1.42</v>
      </c>
      <c r="G87" s="427" t="s">
        <v>3313</v>
      </c>
      <c r="H87" s="427" t="s">
        <v>3361</v>
      </c>
      <c r="I87" s="456">
        <v>0.13</v>
      </c>
      <c r="J87" s="458">
        <f t="shared" si="6"/>
        <v>9.154929577464789E-2</v>
      </c>
      <c r="K87" s="473">
        <v>43361</v>
      </c>
      <c r="L87" s="456"/>
      <c r="M87" s="467" t="str">
        <f t="shared" si="7"/>
        <v/>
      </c>
      <c r="N87" s="456">
        <v>0.13</v>
      </c>
      <c r="O87" s="467">
        <f t="shared" si="8"/>
        <v>9.154929577464789E-2</v>
      </c>
      <c r="P87" s="456">
        <v>1.42</v>
      </c>
      <c r="Q87" s="458">
        <f t="shared" si="9"/>
        <v>1</v>
      </c>
      <c r="R87" s="432" t="s">
        <v>1488</v>
      </c>
      <c r="S87" s="436">
        <v>2019</v>
      </c>
    </row>
    <row r="88" spans="1:19" ht="56.25">
      <c r="A88" s="457" t="s">
        <v>2104</v>
      </c>
      <c r="B88" s="471" t="s">
        <v>2105</v>
      </c>
      <c r="C88" s="472" t="s">
        <v>164</v>
      </c>
      <c r="D88" s="428" t="s">
        <v>3276</v>
      </c>
      <c r="E88" s="475">
        <v>1.32</v>
      </c>
      <c r="F88" s="456">
        <v>1.32</v>
      </c>
      <c r="G88" s="427" t="s">
        <v>3362</v>
      </c>
      <c r="H88" s="427" t="s">
        <v>3363</v>
      </c>
      <c r="I88" s="456">
        <v>1.32</v>
      </c>
      <c r="J88" s="458">
        <f t="shared" si="6"/>
        <v>1</v>
      </c>
      <c r="K88" s="473">
        <v>43361</v>
      </c>
      <c r="L88" s="456"/>
      <c r="M88" s="467" t="str">
        <f t="shared" si="7"/>
        <v/>
      </c>
      <c r="N88" s="456">
        <v>1.32</v>
      </c>
      <c r="O88" s="467">
        <f t="shared" si="8"/>
        <v>1</v>
      </c>
      <c r="P88" s="456">
        <v>1.32</v>
      </c>
      <c r="Q88" s="458">
        <f t="shared" si="9"/>
        <v>1</v>
      </c>
      <c r="R88" s="432" t="s">
        <v>1488</v>
      </c>
      <c r="S88" s="436">
        <v>2019</v>
      </c>
    </row>
    <row r="89" spans="1:19" ht="75">
      <c r="A89" s="457" t="s">
        <v>2106</v>
      </c>
      <c r="B89" s="471" t="s">
        <v>2107</v>
      </c>
      <c r="C89" s="472" t="s">
        <v>165</v>
      </c>
      <c r="D89" s="428" t="s">
        <v>3276</v>
      </c>
      <c r="E89" s="475">
        <v>0.78</v>
      </c>
      <c r="F89" s="456">
        <v>0.78</v>
      </c>
      <c r="G89" s="427" t="s">
        <v>3364</v>
      </c>
      <c r="H89" s="427" t="s">
        <v>3365</v>
      </c>
      <c r="I89" s="456">
        <v>0.78</v>
      </c>
      <c r="J89" s="458">
        <f t="shared" si="6"/>
        <v>1</v>
      </c>
      <c r="K89" s="473">
        <v>43361</v>
      </c>
      <c r="L89" s="456"/>
      <c r="M89" s="467" t="str">
        <f t="shared" si="7"/>
        <v/>
      </c>
      <c r="N89" s="456">
        <v>0.78</v>
      </c>
      <c r="O89" s="467">
        <f t="shared" si="8"/>
        <v>1</v>
      </c>
      <c r="P89" s="456">
        <v>0.78</v>
      </c>
      <c r="Q89" s="458">
        <f t="shared" si="9"/>
        <v>1</v>
      </c>
      <c r="R89" s="432" t="s">
        <v>1488</v>
      </c>
      <c r="S89" s="436">
        <v>2019</v>
      </c>
    </row>
    <row r="90" spans="1:19" ht="56.25">
      <c r="A90" s="457" t="s">
        <v>2108</v>
      </c>
      <c r="B90" s="471" t="s">
        <v>2109</v>
      </c>
      <c r="C90" s="472" t="s">
        <v>166</v>
      </c>
      <c r="D90" s="428" t="s">
        <v>3276</v>
      </c>
      <c r="E90" s="475">
        <v>2.0699999999999998</v>
      </c>
      <c r="F90" s="456">
        <v>2.0699999999999998</v>
      </c>
      <c r="G90" s="427" t="s">
        <v>3366</v>
      </c>
      <c r="H90" s="427" t="s">
        <v>3367</v>
      </c>
      <c r="I90" s="456">
        <v>0.37</v>
      </c>
      <c r="J90" s="458">
        <f t="shared" si="6"/>
        <v>0.17874396135265702</v>
      </c>
      <c r="K90" s="473">
        <v>43361</v>
      </c>
      <c r="L90" s="456"/>
      <c r="M90" s="467" t="str">
        <f t="shared" si="7"/>
        <v/>
      </c>
      <c r="N90" s="456">
        <v>2.0699999999999998</v>
      </c>
      <c r="O90" s="467">
        <f t="shared" si="8"/>
        <v>1</v>
      </c>
      <c r="P90" s="456">
        <v>2.0699999999999998</v>
      </c>
      <c r="Q90" s="458">
        <f t="shared" si="9"/>
        <v>1</v>
      </c>
      <c r="R90" s="432" t="s">
        <v>1488</v>
      </c>
      <c r="S90" s="436">
        <v>2019</v>
      </c>
    </row>
    <row r="91" spans="1:19" ht="56.25">
      <c r="A91" s="457" t="s">
        <v>2110</v>
      </c>
      <c r="B91" s="471" t="s">
        <v>2111</v>
      </c>
      <c r="C91" s="472" t="s">
        <v>167</v>
      </c>
      <c r="D91" s="428" t="s">
        <v>3276</v>
      </c>
      <c r="E91" s="475">
        <v>0.28000000000000003</v>
      </c>
      <c r="F91" s="456">
        <v>0.28000000000000003</v>
      </c>
      <c r="G91" s="427" t="s">
        <v>3338</v>
      </c>
      <c r="H91" s="427" t="s">
        <v>3368</v>
      </c>
      <c r="I91" s="456">
        <v>0.11</v>
      </c>
      <c r="J91" s="458">
        <f t="shared" si="6"/>
        <v>0.39285714285714285</v>
      </c>
      <c r="K91" s="473">
        <v>43361</v>
      </c>
      <c r="L91" s="456"/>
      <c r="M91" s="467" t="str">
        <f t="shared" si="7"/>
        <v/>
      </c>
      <c r="N91" s="456">
        <v>0.11</v>
      </c>
      <c r="O91" s="467">
        <f t="shared" si="8"/>
        <v>0.39285714285714285</v>
      </c>
      <c r="P91" s="456">
        <v>0.28000000000000003</v>
      </c>
      <c r="Q91" s="458">
        <f t="shared" si="9"/>
        <v>1</v>
      </c>
      <c r="R91" s="432" t="s">
        <v>1488</v>
      </c>
      <c r="S91" s="436">
        <v>2019</v>
      </c>
    </row>
    <row r="92" spans="1:19" ht="56.25">
      <c r="A92" s="457" t="s">
        <v>2112</v>
      </c>
      <c r="B92" s="471" t="s">
        <v>2113</v>
      </c>
      <c r="C92" s="472" t="s">
        <v>168</v>
      </c>
      <c r="D92" s="428" t="s">
        <v>3276</v>
      </c>
      <c r="E92" s="475">
        <v>0.23</v>
      </c>
      <c r="F92" s="456">
        <v>0.23</v>
      </c>
      <c r="G92" s="427" t="s">
        <v>3369</v>
      </c>
      <c r="H92" s="427" t="s">
        <v>3370</v>
      </c>
      <c r="I92" s="25">
        <v>0</v>
      </c>
      <c r="J92" s="458">
        <f t="shared" si="6"/>
        <v>0</v>
      </c>
      <c r="K92" s="473">
        <v>43361</v>
      </c>
      <c r="L92" s="456"/>
      <c r="M92" s="467" t="str">
        <f t="shared" si="7"/>
        <v/>
      </c>
      <c r="N92" s="456">
        <v>0.23</v>
      </c>
      <c r="O92" s="467">
        <f t="shared" si="8"/>
        <v>1</v>
      </c>
      <c r="P92" s="456">
        <v>0.23</v>
      </c>
      <c r="Q92" s="458">
        <f t="shared" si="9"/>
        <v>1</v>
      </c>
      <c r="R92" s="432" t="s">
        <v>1488</v>
      </c>
      <c r="S92" s="436">
        <v>2019</v>
      </c>
    </row>
    <row r="93" spans="1:19" ht="56.25">
      <c r="A93" s="457" t="s">
        <v>2114</v>
      </c>
      <c r="B93" s="471" t="s">
        <v>2115</v>
      </c>
      <c r="C93" s="472" t="s">
        <v>169</v>
      </c>
      <c r="D93" s="428" t="s">
        <v>3276</v>
      </c>
      <c r="E93" s="475">
        <v>0.47</v>
      </c>
      <c r="F93" s="456">
        <v>0.47</v>
      </c>
      <c r="G93" s="427" t="s">
        <v>3371</v>
      </c>
      <c r="H93" s="427" t="s">
        <v>3372</v>
      </c>
      <c r="I93" s="456">
        <v>0.47</v>
      </c>
      <c r="J93" s="458">
        <f t="shared" si="6"/>
        <v>1</v>
      </c>
      <c r="K93" s="473">
        <v>43361</v>
      </c>
      <c r="L93" s="456"/>
      <c r="M93" s="467" t="str">
        <f t="shared" si="7"/>
        <v/>
      </c>
      <c r="N93" s="456">
        <v>0.47</v>
      </c>
      <c r="O93" s="467">
        <f t="shared" si="8"/>
        <v>1</v>
      </c>
      <c r="P93" s="456">
        <v>0.47</v>
      </c>
      <c r="Q93" s="458">
        <f t="shared" si="9"/>
        <v>1</v>
      </c>
      <c r="R93" s="432" t="s">
        <v>1488</v>
      </c>
      <c r="S93" s="436">
        <v>2019</v>
      </c>
    </row>
    <row r="94" spans="1:19" ht="56.25">
      <c r="A94" s="457" t="s">
        <v>2116</v>
      </c>
      <c r="B94" s="471" t="s">
        <v>2117</v>
      </c>
      <c r="C94" s="472" t="s">
        <v>170</v>
      </c>
      <c r="D94" s="428" t="s">
        <v>3276</v>
      </c>
      <c r="E94" s="475">
        <v>1.29</v>
      </c>
      <c r="F94" s="456">
        <v>1.29</v>
      </c>
      <c r="G94" s="427" t="s">
        <v>3373</v>
      </c>
      <c r="H94" s="427" t="s">
        <v>3328</v>
      </c>
      <c r="I94" s="456">
        <v>1.29</v>
      </c>
      <c r="J94" s="458">
        <f t="shared" si="6"/>
        <v>1</v>
      </c>
      <c r="K94" s="473">
        <v>43361</v>
      </c>
      <c r="L94" s="456"/>
      <c r="M94" s="467" t="str">
        <f t="shared" si="7"/>
        <v/>
      </c>
      <c r="N94" s="456">
        <v>1.29</v>
      </c>
      <c r="O94" s="467">
        <f t="shared" si="8"/>
        <v>1</v>
      </c>
      <c r="P94" s="456">
        <v>1.29</v>
      </c>
      <c r="Q94" s="458">
        <f t="shared" si="9"/>
        <v>1</v>
      </c>
      <c r="R94" s="432" t="s">
        <v>1488</v>
      </c>
      <c r="S94" s="436">
        <v>2019</v>
      </c>
    </row>
    <row r="95" spans="1:19" ht="56.25">
      <c r="A95" s="457" t="s">
        <v>2118</v>
      </c>
      <c r="B95" s="471" t="s">
        <v>2117</v>
      </c>
      <c r="C95" s="472" t="s">
        <v>171</v>
      </c>
      <c r="D95" s="428" t="s">
        <v>3276</v>
      </c>
      <c r="E95" s="475">
        <v>4.43</v>
      </c>
      <c r="F95" s="456">
        <v>4.43</v>
      </c>
      <c r="G95" s="427" t="s">
        <v>3373</v>
      </c>
      <c r="H95" s="427" t="s">
        <v>3374</v>
      </c>
      <c r="I95" s="456">
        <v>2.1800000000000002</v>
      </c>
      <c r="J95" s="458">
        <f t="shared" si="6"/>
        <v>0.49209932279909713</v>
      </c>
      <c r="K95" s="473">
        <v>43361</v>
      </c>
      <c r="L95" s="456"/>
      <c r="M95" s="467" t="str">
        <f t="shared" si="7"/>
        <v/>
      </c>
      <c r="N95" s="456">
        <v>2.1800000000000002</v>
      </c>
      <c r="O95" s="467">
        <f t="shared" si="8"/>
        <v>0.49209932279909713</v>
      </c>
      <c r="P95" s="456">
        <v>4.43</v>
      </c>
      <c r="Q95" s="458">
        <f t="shared" si="9"/>
        <v>1</v>
      </c>
      <c r="R95" s="432" t="s">
        <v>1488</v>
      </c>
      <c r="S95" s="436">
        <v>2019</v>
      </c>
    </row>
    <row r="96" spans="1:19" ht="56.25">
      <c r="A96" s="457" t="s">
        <v>2119</v>
      </c>
      <c r="B96" s="471" t="s">
        <v>2120</v>
      </c>
      <c r="C96" s="472" t="s">
        <v>172</v>
      </c>
      <c r="D96" s="428" t="s">
        <v>3276</v>
      </c>
      <c r="E96" s="475">
        <v>1.04</v>
      </c>
      <c r="F96" s="456">
        <v>1.1399999999999999</v>
      </c>
      <c r="G96" s="427" t="s">
        <v>3375</v>
      </c>
      <c r="H96" s="427" t="s">
        <v>3326</v>
      </c>
      <c r="I96" s="456">
        <v>0.7</v>
      </c>
      <c r="J96" s="458">
        <f t="shared" si="6"/>
        <v>0.61403508771929827</v>
      </c>
      <c r="K96" s="473">
        <v>43361</v>
      </c>
      <c r="L96" s="456"/>
      <c r="M96" s="467" t="str">
        <f t="shared" si="7"/>
        <v/>
      </c>
      <c r="N96" s="456">
        <v>1.1399999999999999</v>
      </c>
      <c r="O96" s="467">
        <f t="shared" si="8"/>
        <v>1</v>
      </c>
      <c r="P96" s="456">
        <v>1.1399999999999999</v>
      </c>
      <c r="Q96" s="458">
        <f t="shared" si="9"/>
        <v>1</v>
      </c>
      <c r="R96" s="432" t="s">
        <v>1488</v>
      </c>
      <c r="S96" s="436">
        <v>2019</v>
      </c>
    </row>
    <row r="97" spans="1:19" ht="56.25">
      <c r="A97" s="457" t="s">
        <v>2121</v>
      </c>
      <c r="B97" s="471" t="s">
        <v>2120</v>
      </c>
      <c r="C97" s="472" t="s">
        <v>173</v>
      </c>
      <c r="D97" s="428" t="s">
        <v>3276</v>
      </c>
      <c r="E97" s="475">
        <v>3.68</v>
      </c>
      <c r="F97" s="456">
        <v>3.68</v>
      </c>
      <c r="G97" s="427" t="s">
        <v>3376</v>
      </c>
      <c r="H97" s="427" t="s">
        <v>3377</v>
      </c>
      <c r="I97" s="25">
        <v>0</v>
      </c>
      <c r="J97" s="458">
        <f t="shared" si="6"/>
        <v>0</v>
      </c>
      <c r="K97" s="473">
        <v>43361</v>
      </c>
      <c r="L97" s="456"/>
      <c r="M97" s="467" t="str">
        <f t="shared" si="7"/>
        <v/>
      </c>
      <c r="N97" s="456">
        <v>0</v>
      </c>
      <c r="O97" s="467">
        <f t="shared" si="8"/>
        <v>0</v>
      </c>
      <c r="P97" s="456">
        <v>3.68</v>
      </c>
      <c r="Q97" s="458">
        <f t="shared" si="9"/>
        <v>1</v>
      </c>
      <c r="R97" s="432" t="s">
        <v>1488</v>
      </c>
      <c r="S97" s="436">
        <v>2019</v>
      </c>
    </row>
    <row r="98" spans="1:19" ht="56.25">
      <c r="A98" s="457" t="s">
        <v>2122</v>
      </c>
      <c r="B98" s="471" t="s">
        <v>2123</v>
      </c>
      <c r="C98" s="472" t="s">
        <v>174</v>
      </c>
      <c r="D98" s="428" t="s">
        <v>3276</v>
      </c>
      <c r="E98" s="475">
        <v>0.48</v>
      </c>
      <c r="F98" s="456">
        <v>0.48</v>
      </c>
      <c r="G98" s="427" t="s">
        <v>3378</v>
      </c>
      <c r="H98" s="427" t="s">
        <v>3379</v>
      </c>
      <c r="I98" s="456">
        <v>0.45</v>
      </c>
      <c r="J98" s="458">
        <f t="shared" si="6"/>
        <v>0.93750000000000011</v>
      </c>
      <c r="K98" s="473">
        <v>43361</v>
      </c>
      <c r="L98" s="456"/>
      <c r="M98" s="467" t="str">
        <f t="shared" si="7"/>
        <v/>
      </c>
      <c r="N98" s="456">
        <v>0.45</v>
      </c>
      <c r="O98" s="467">
        <f t="shared" si="8"/>
        <v>0.93750000000000011</v>
      </c>
      <c r="P98" s="456">
        <v>0.45</v>
      </c>
      <c r="Q98" s="458">
        <f t="shared" si="9"/>
        <v>0.93750000000000011</v>
      </c>
      <c r="R98" s="432" t="s">
        <v>1488</v>
      </c>
      <c r="S98" s="436">
        <v>2019</v>
      </c>
    </row>
    <row r="99" spans="1:19" ht="56.25">
      <c r="A99" s="457" t="s">
        <v>2124</v>
      </c>
      <c r="B99" s="471" t="s">
        <v>2125</v>
      </c>
      <c r="C99" s="472" t="s">
        <v>175</v>
      </c>
      <c r="D99" s="428" t="s">
        <v>3276</v>
      </c>
      <c r="E99" s="475">
        <v>1.3839999999999999</v>
      </c>
      <c r="F99" s="475">
        <v>1.3839999999999999</v>
      </c>
      <c r="G99" s="427" t="s">
        <v>3380</v>
      </c>
      <c r="H99" s="427" t="s">
        <v>3313</v>
      </c>
      <c r="I99" s="456">
        <v>0.28370000000000001</v>
      </c>
      <c r="J99" s="458">
        <f t="shared" si="6"/>
        <v>0.204985549132948</v>
      </c>
      <c r="K99" s="473">
        <v>43361</v>
      </c>
      <c r="L99" s="456"/>
      <c r="M99" s="467" t="str">
        <f t="shared" si="7"/>
        <v/>
      </c>
      <c r="N99" s="456">
        <v>1.3340000000000001</v>
      </c>
      <c r="O99" s="467">
        <f t="shared" si="8"/>
        <v>0.96387283236994237</v>
      </c>
      <c r="P99" s="456">
        <v>1.3340000000000001</v>
      </c>
      <c r="Q99" s="458">
        <f t="shared" si="9"/>
        <v>0.96387283236994237</v>
      </c>
      <c r="R99" s="432" t="s">
        <v>1488</v>
      </c>
      <c r="S99" s="436">
        <v>2019</v>
      </c>
    </row>
    <row r="100" spans="1:19" ht="56.25">
      <c r="A100" s="457" t="s">
        <v>2126</v>
      </c>
      <c r="B100" s="471" t="s">
        <v>2127</v>
      </c>
      <c r="C100" s="472" t="s">
        <v>176</v>
      </c>
      <c r="D100" s="428" t="s">
        <v>3276</v>
      </c>
      <c r="E100" s="475">
        <v>2.56</v>
      </c>
      <c r="F100" s="456">
        <v>2.56</v>
      </c>
      <c r="G100" s="427" t="s">
        <v>3381</v>
      </c>
      <c r="H100" s="427" t="s">
        <v>3382</v>
      </c>
      <c r="I100" s="456">
        <v>2.21</v>
      </c>
      <c r="J100" s="458">
        <f t="shared" si="6"/>
        <v>0.86328125</v>
      </c>
      <c r="K100" s="473">
        <v>43361</v>
      </c>
      <c r="L100" s="456"/>
      <c r="M100" s="467" t="str">
        <f t="shared" si="7"/>
        <v/>
      </c>
      <c r="N100" s="456">
        <v>2.56</v>
      </c>
      <c r="O100" s="467">
        <f t="shared" si="8"/>
        <v>1</v>
      </c>
      <c r="P100" s="456">
        <v>2.56</v>
      </c>
      <c r="Q100" s="458">
        <f t="shared" si="9"/>
        <v>1</v>
      </c>
      <c r="R100" s="432" t="s">
        <v>1488</v>
      </c>
      <c r="S100" s="436">
        <v>2019</v>
      </c>
    </row>
    <row r="101" spans="1:19" ht="56.25">
      <c r="A101" s="457" t="s">
        <v>2128</v>
      </c>
      <c r="B101" s="471" t="s">
        <v>2129</v>
      </c>
      <c r="C101" s="472" t="s">
        <v>177</v>
      </c>
      <c r="D101" s="428" t="s">
        <v>3276</v>
      </c>
      <c r="E101" s="475">
        <v>2.56</v>
      </c>
      <c r="F101" s="456">
        <v>2.56</v>
      </c>
      <c r="G101" s="427" t="s">
        <v>3383</v>
      </c>
      <c r="H101" s="427" t="s">
        <v>3313</v>
      </c>
      <c r="I101" s="456">
        <v>2.2599999999999998</v>
      </c>
      <c r="J101" s="458">
        <f t="shared" si="6"/>
        <v>0.88281249999999989</v>
      </c>
      <c r="K101" s="473">
        <v>43361</v>
      </c>
      <c r="L101" s="456"/>
      <c r="M101" s="467" t="str">
        <f t="shared" si="7"/>
        <v/>
      </c>
      <c r="N101" s="456">
        <v>2.46</v>
      </c>
      <c r="O101" s="467">
        <f t="shared" si="8"/>
        <v>0.9609375</v>
      </c>
      <c r="P101" s="456">
        <v>2.46</v>
      </c>
      <c r="Q101" s="458">
        <f t="shared" si="9"/>
        <v>0.9609375</v>
      </c>
      <c r="R101" s="432" t="s">
        <v>1488</v>
      </c>
      <c r="S101" s="436">
        <v>2019</v>
      </c>
    </row>
    <row r="102" spans="1:19" ht="56.25">
      <c r="A102" s="457" t="s">
        <v>2130</v>
      </c>
      <c r="B102" s="471" t="s">
        <v>2131</v>
      </c>
      <c r="C102" s="472" t="s">
        <v>178</v>
      </c>
      <c r="D102" s="428" t="s">
        <v>3276</v>
      </c>
      <c r="E102" s="475">
        <v>2.74</v>
      </c>
      <c r="F102" s="456">
        <v>2.74</v>
      </c>
      <c r="G102" s="427" t="s">
        <v>3384</v>
      </c>
      <c r="H102" s="427" t="s">
        <v>2647</v>
      </c>
      <c r="I102" s="456">
        <v>2.74</v>
      </c>
      <c r="J102" s="458">
        <f t="shared" si="6"/>
        <v>1</v>
      </c>
      <c r="K102" s="473">
        <v>43361</v>
      </c>
      <c r="L102" s="456"/>
      <c r="M102" s="467" t="str">
        <f t="shared" si="7"/>
        <v/>
      </c>
      <c r="N102" s="456">
        <v>2.74</v>
      </c>
      <c r="O102" s="467">
        <f t="shared" si="8"/>
        <v>1</v>
      </c>
      <c r="P102" s="456">
        <v>2.74</v>
      </c>
      <c r="Q102" s="458">
        <f t="shared" si="9"/>
        <v>1</v>
      </c>
      <c r="R102" s="432" t="s">
        <v>1488</v>
      </c>
      <c r="S102" s="436">
        <v>2019</v>
      </c>
    </row>
    <row r="103" spans="1:19" ht="56.25">
      <c r="A103" s="457" t="s">
        <v>2132</v>
      </c>
      <c r="B103" s="471" t="s">
        <v>2133</v>
      </c>
      <c r="C103" s="472" t="s">
        <v>179</v>
      </c>
      <c r="D103" s="428" t="s">
        <v>3276</v>
      </c>
      <c r="E103" s="475">
        <v>3.9</v>
      </c>
      <c r="F103" s="456">
        <v>3.9</v>
      </c>
      <c r="G103" s="427" t="s">
        <v>3385</v>
      </c>
      <c r="H103" s="427" t="s">
        <v>3329</v>
      </c>
      <c r="I103" s="25">
        <v>0</v>
      </c>
      <c r="J103" s="458">
        <f t="shared" si="6"/>
        <v>0</v>
      </c>
      <c r="K103" s="473">
        <v>43361</v>
      </c>
      <c r="L103" s="456"/>
      <c r="M103" s="467" t="str">
        <f t="shared" si="7"/>
        <v/>
      </c>
      <c r="N103" s="456">
        <v>1.91</v>
      </c>
      <c r="O103" s="467">
        <f t="shared" si="8"/>
        <v>0.48974358974358972</v>
      </c>
      <c r="P103" s="456">
        <v>1.9</v>
      </c>
      <c r="Q103" s="458">
        <f t="shared" si="9"/>
        <v>0.48717948717948717</v>
      </c>
      <c r="R103" s="432" t="s">
        <v>1488</v>
      </c>
      <c r="S103" s="436">
        <v>2019</v>
      </c>
    </row>
    <row r="104" spans="1:19" ht="56.25">
      <c r="A104" s="457" t="s">
        <v>2134</v>
      </c>
      <c r="B104" s="471" t="s">
        <v>2135</v>
      </c>
      <c r="C104" s="472" t="s">
        <v>180</v>
      </c>
      <c r="D104" s="428" t="s">
        <v>3276</v>
      </c>
      <c r="E104" s="475">
        <v>0.43</v>
      </c>
      <c r="F104" s="456">
        <v>0.43</v>
      </c>
      <c r="G104" s="427" t="s">
        <v>3386</v>
      </c>
      <c r="H104" s="427" t="s">
        <v>3387</v>
      </c>
      <c r="I104" s="456">
        <v>0.16</v>
      </c>
      <c r="J104" s="458">
        <f t="shared" si="6"/>
        <v>0.37209302325581395</v>
      </c>
      <c r="K104" s="473">
        <v>43361</v>
      </c>
      <c r="L104" s="456"/>
      <c r="M104" s="467" t="str">
        <f t="shared" si="7"/>
        <v/>
      </c>
      <c r="N104" s="456">
        <v>0.16</v>
      </c>
      <c r="O104" s="467">
        <f t="shared" si="8"/>
        <v>0.37209302325581395</v>
      </c>
      <c r="P104" s="456">
        <v>0.43000000000000005</v>
      </c>
      <c r="Q104" s="458">
        <f t="shared" si="9"/>
        <v>1.0000000000000002</v>
      </c>
      <c r="R104" s="432" t="s">
        <v>1488</v>
      </c>
      <c r="S104" s="436">
        <v>2019</v>
      </c>
    </row>
    <row r="105" spans="1:19" ht="75">
      <c r="A105" s="457" t="s">
        <v>2136</v>
      </c>
      <c r="B105" s="471" t="s">
        <v>2137</v>
      </c>
      <c r="C105" s="472" t="s">
        <v>181</v>
      </c>
      <c r="D105" s="428" t="s">
        <v>3276</v>
      </c>
      <c r="E105" s="475">
        <v>2.86</v>
      </c>
      <c r="F105" s="456">
        <v>2.86</v>
      </c>
      <c r="G105" s="427" t="s">
        <v>3388</v>
      </c>
      <c r="H105" s="427" t="s">
        <v>3389</v>
      </c>
      <c r="I105" s="456">
        <v>2.61</v>
      </c>
      <c r="J105" s="458">
        <f t="shared" si="6"/>
        <v>0.91258741258741261</v>
      </c>
      <c r="K105" s="473">
        <v>43361</v>
      </c>
      <c r="L105" s="456"/>
      <c r="M105" s="467" t="str">
        <f t="shared" si="7"/>
        <v/>
      </c>
      <c r="N105" s="456">
        <v>2.61</v>
      </c>
      <c r="O105" s="467">
        <f t="shared" si="8"/>
        <v>0.91258741258741261</v>
      </c>
      <c r="P105" s="456">
        <v>2.86</v>
      </c>
      <c r="Q105" s="458">
        <f t="shared" si="9"/>
        <v>1</v>
      </c>
      <c r="R105" s="432" t="s">
        <v>1488</v>
      </c>
      <c r="S105" s="436">
        <v>2019</v>
      </c>
    </row>
    <row r="106" spans="1:19" ht="56.25">
      <c r="A106" s="457" t="s">
        <v>2138</v>
      </c>
      <c r="B106" s="471" t="s">
        <v>2139</v>
      </c>
      <c r="C106" s="472" t="s">
        <v>182</v>
      </c>
      <c r="D106" s="428" t="s">
        <v>3276</v>
      </c>
      <c r="E106" s="475">
        <v>0.28999999999999998</v>
      </c>
      <c r="F106" s="456">
        <v>0.28999999999999998</v>
      </c>
      <c r="G106" s="427" t="s">
        <v>3390</v>
      </c>
      <c r="H106" s="427" t="s">
        <v>3391</v>
      </c>
      <c r="I106" s="456">
        <v>0.28999999999999998</v>
      </c>
      <c r="J106" s="458">
        <f t="shared" si="6"/>
        <v>1</v>
      </c>
      <c r="K106" s="473">
        <v>43361</v>
      </c>
      <c r="L106" s="456"/>
      <c r="M106" s="467" t="str">
        <f t="shared" si="7"/>
        <v/>
      </c>
      <c r="N106" s="456">
        <v>0.28999999999999998</v>
      </c>
      <c r="O106" s="467">
        <f t="shared" si="8"/>
        <v>1</v>
      </c>
      <c r="P106" s="456">
        <v>0.28999999999999998</v>
      </c>
      <c r="Q106" s="458">
        <f t="shared" si="9"/>
        <v>1</v>
      </c>
      <c r="R106" s="432" t="s">
        <v>1488</v>
      </c>
      <c r="S106" s="436">
        <v>2019</v>
      </c>
    </row>
    <row r="107" spans="1:19" ht="56.25">
      <c r="A107" s="457" t="s">
        <v>2140</v>
      </c>
      <c r="B107" s="471" t="s">
        <v>2141</v>
      </c>
      <c r="C107" s="472" t="s">
        <v>183</v>
      </c>
      <c r="D107" s="428" t="s">
        <v>3276</v>
      </c>
      <c r="E107" s="475">
        <v>3.3</v>
      </c>
      <c r="F107" s="456">
        <v>3.3</v>
      </c>
      <c r="G107" s="427" t="s">
        <v>3392</v>
      </c>
      <c r="H107" s="427" t="s">
        <v>3326</v>
      </c>
      <c r="I107" s="25">
        <v>0</v>
      </c>
      <c r="J107" s="458">
        <f t="shared" si="6"/>
        <v>0</v>
      </c>
      <c r="K107" s="473">
        <v>43361</v>
      </c>
      <c r="L107" s="456"/>
      <c r="M107" s="467" t="str">
        <f t="shared" si="7"/>
        <v/>
      </c>
      <c r="N107" s="456">
        <v>0</v>
      </c>
      <c r="O107" s="467">
        <f t="shared" si="8"/>
        <v>0</v>
      </c>
      <c r="P107" s="456">
        <v>3.3</v>
      </c>
      <c r="Q107" s="458">
        <f t="shared" si="9"/>
        <v>1</v>
      </c>
      <c r="R107" s="432" t="s">
        <v>1488</v>
      </c>
      <c r="S107" s="436">
        <v>2019</v>
      </c>
    </row>
    <row r="108" spans="1:19" ht="56.25">
      <c r="A108" s="457" t="s">
        <v>2142</v>
      </c>
      <c r="B108" s="471" t="s">
        <v>2143</v>
      </c>
      <c r="C108" s="472" t="s">
        <v>1286</v>
      </c>
      <c r="D108" s="428" t="s">
        <v>3276</v>
      </c>
      <c r="E108" s="475">
        <v>1.88</v>
      </c>
      <c r="F108" s="456">
        <v>1.88</v>
      </c>
      <c r="G108" s="427" t="s">
        <v>3393</v>
      </c>
      <c r="H108" s="427" t="s">
        <v>3328</v>
      </c>
      <c r="I108" s="456">
        <v>0.61</v>
      </c>
      <c r="J108" s="458">
        <f t="shared" si="6"/>
        <v>0.32446808510638298</v>
      </c>
      <c r="K108" s="473">
        <v>43361</v>
      </c>
      <c r="L108" s="456"/>
      <c r="M108" s="467" t="str">
        <f t="shared" si="7"/>
        <v/>
      </c>
      <c r="N108" s="456">
        <v>1.88</v>
      </c>
      <c r="O108" s="467">
        <f t="shared" si="8"/>
        <v>1</v>
      </c>
      <c r="P108" s="456">
        <v>1.88</v>
      </c>
      <c r="Q108" s="458">
        <f t="shared" si="9"/>
        <v>1</v>
      </c>
      <c r="R108" s="432" t="s">
        <v>1488</v>
      </c>
      <c r="S108" s="436">
        <v>2019</v>
      </c>
    </row>
    <row r="109" spans="1:19" ht="56.25">
      <c r="A109" s="457" t="s">
        <v>2144</v>
      </c>
      <c r="B109" s="471" t="s">
        <v>2143</v>
      </c>
      <c r="C109" s="472" t="s">
        <v>187</v>
      </c>
      <c r="D109" s="428" t="s">
        <v>3276</v>
      </c>
      <c r="E109" s="475">
        <v>2.3969999999999998</v>
      </c>
      <c r="F109" s="475">
        <v>2.3969999999999998</v>
      </c>
      <c r="G109" s="427" t="s">
        <v>3393</v>
      </c>
      <c r="H109" s="427" t="s">
        <v>3394</v>
      </c>
      <c r="I109" s="25">
        <v>0</v>
      </c>
      <c r="J109" s="458">
        <f t="shared" si="6"/>
        <v>0</v>
      </c>
      <c r="K109" s="473">
        <v>43361</v>
      </c>
      <c r="L109" s="456"/>
      <c r="M109" s="467" t="str">
        <f t="shared" si="7"/>
        <v/>
      </c>
      <c r="N109" s="456">
        <v>2.3969999999999998</v>
      </c>
      <c r="O109" s="467">
        <f t="shared" si="8"/>
        <v>1</v>
      </c>
      <c r="P109" s="456">
        <v>2.3969999999999998</v>
      </c>
      <c r="Q109" s="458">
        <f t="shared" si="9"/>
        <v>1</v>
      </c>
      <c r="R109" s="432" t="s">
        <v>1488</v>
      </c>
      <c r="S109" s="436">
        <v>2019</v>
      </c>
    </row>
    <row r="110" spans="1:19" ht="56.25">
      <c r="A110" s="457" t="s">
        <v>2145</v>
      </c>
      <c r="B110" s="471" t="s">
        <v>2146</v>
      </c>
      <c r="C110" s="472" t="s">
        <v>188</v>
      </c>
      <c r="D110" s="428" t="s">
        <v>3276</v>
      </c>
      <c r="E110" s="475">
        <v>2.1</v>
      </c>
      <c r="F110" s="456">
        <v>2.1</v>
      </c>
      <c r="G110" s="427" t="s">
        <v>3395</v>
      </c>
      <c r="H110" s="427" t="s">
        <v>3396</v>
      </c>
      <c r="I110" s="25">
        <v>0</v>
      </c>
      <c r="J110" s="458">
        <f t="shared" ref="J110:J173" si="10">IF(I110="","",I110/F110)</f>
        <v>0</v>
      </c>
      <c r="K110" s="473">
        <v>43361</v>
      </c>
      <c r="L110" s="456"/>
      <c r="M110" s="467" t="str">
        <f t="shared" ref="M110:M173" si="11">IF(I110="",L110/F110,"")</f>
        <v/>
      </c>
      <c r="N110" s="456">
        <v>1</v>
      </c>
      <c r="O110" s="467">
        <f t="shared" ref="O110:O117" si="12">N110/F110</f>
        <v>0.47619047619047616</v>
      </c>
      <c r="P110" s="456">
        <v>2.1</v>
      </c>
      <c r="Q110" s="458">
        <f t="shared" ref="Q110:Q117" si="13">P110/F110</f>
        <v>1</v>
      </c>
      <c r="R110" s="432" t="s">
        <v>1488</v>
      </c>
      <c r="S110" s="436">
        <v>2019</v>
      </c>
    </row>
    <row r="111" spans="1:19" ht="56.25">
      <c r="A111" s="457" t="s">
        <v>2147</v>
      </c>
      <c r="B111" s="471" t="s">
        <v>2148</v>
      </c>
      <c r="C111" s="472" t="s">
        <v>190</v>
      </c>
      <c r="D111" s="428" t="s">
        <v>3276</v>
      </c>
      <c r="E111" s="475">
        <v>1.01</v>
      </c>
      <c r="F111" s="456">
        <v>1.01</v>
      </c>
      <c r="G111" s="427" t="s">
        <v>3316</v>
      </c>
      <c r="H111" s="427" t="s">
        <v>3397</v>
      </c>
      <c r="I111" s="25">
        <v>0</v>
      </c>
      <c r="J111" s="458">
        <f t="shared" si="10"/>
        <v>0</v>
      </c>
      <c r="K111" s="473">
        <v>43361</v>
      </c>
      <c r="L111" s="456"/>
      <c r="M111" s="467" t="str">
        <f t="shared" si="11"/>
        <v/>
      </c>
      <c r="N111" s="456">
        <v>0.82</v>
      </c>
      <c r="O111" s="467">
        <f t="shared" si="12"/>
        <v>0.81188118811881183</v>
      </c>
      <c r="P111" s="456">
        <v>1.01</v>
      </c>
      <c r="Q111" s="458">
        <f t="shared" si="13"/>
        <v>1</v>
      </c>
      <c r="R111" s="432" t="s">
        <v>1488</v>
      </c>
      <c r="S111" s="436">
        <v>2019</v>
      </c>
    </row>
    <row r="112" spans="1:19" ht="56.25">
      <c r="A112" s="457" t="s">
        <v>2149</v>
      </c>
      <c r="B112" s="471" t="s">
        <v>2150</v>
      </c>
      <c r="C112" s="472" t="s">
        <v>191</v>
      </c>
      <c r="D112" s="428" t="s">
        <v>3276</v>
      </c>
      <c r="E112" s="475">
        <v>0.56999999999999995</v>
      </c>
      <c r="F112" s="456">
        <v>0.56999999999999995</v>
      </c>
      <c r="G112" s="427" t="s">
        <v>3398</v>
      </c>
      <c r="H112" s="427" t="s">
        <v>3399</v>
      </c>
      <c r="I112" s="456">
        <v>0.52</v>
      </c>
      <c r="J112" s="458">
        <f t="shared" si="10"/>
        <v>0.91228070175438603</v>
      </c>
      <c r="K112" s="473">
        <v>43361</v>
      </c>
      <c r="L112" s="456"/>
      <c r="M112" s="467" t="str">
        <f t="shared" si="11"/>
        <v/>
      </c>
      <c r="N112" s="456">
        <v>0.52</v>
      </c>
      <c r="O112" s="467">
        <f t="shared" si="12"/>
        <v>0.91228070175438603</v>
      </c>
      <c r="P112" s="456">
        <v>0.52</v>
      </c>
      <c r="Q112" s="458">
        <f t="shared" si="13"/>
        <v>0.91228070175438603</v>
      </c>
      <c r="R112" s="432" t="s">
        <v>1488</v>
      </c>
      <c r="S112" s="436">
        <v>2019</v>
      </c>
    </row>
    <row r="113" spans="1:19" ht="56.25">
      <c r="A113" s="457" t="s">
        <v>2151</v>
      </c>
      <c r="B113" s="471" t="s">
        <v>2152</v>
      </c>
      <c r="C113" s="472" t="s">
        <v>192</v>
      </c>
      <c r="D113" s="428" t="s">
        <v>3276</v>
      </c>
      <c r="E113" s="475">
        <v>0.59</v>
      </c>
      <c r="F113" s="456">
        <v>0.59</v>
      </c>
      <c r="G113" s="427" t="s">
        <v>3399</v>
      </c>
      <c r="H113" s="427" t="s">
        <v>3400</v>
      </c>
      <c r="I113" s="456">
        <v>0.59</v>
      </c>
      <c r="J113" s="458">
        <f t="shared" si="10"/>
        <v>1</v>
      </c>
      <c r="K113" s="473">
        <v>43361</v>
      </c>
      <c r="L113" s="456"/>
      <c r="M113" s="467" t="str">
        <f t="shared" si="11"/>
        <v/>
      </c>
      <c r="N113" s="456">
        <v>0.59</v>
      </c>
      <c r="O113" s="467">
        <f t="shared" si="12"/>
        <v>1</v>
      </c>
      <c r="P113" s="456">
        <v>0.59</v>
      </c>
      <c r="Q113" s="458">
        <f t="shared" si="13"/>
        <v>1</v>
      </c>
      <c r="R113" s="432" t="s">
        <v>1488</v>
      </c>
      <c r="S113" s="436">
        <v>2019</v>
      </c>
    </row>
    <row r="114" spans="1:19" ht="56.25">
      <c r="A114" s="457" t="s">
        <v>2153</v>
      </c>
      <c r="B114" s="471" t="s">
        <v>2150</v>
      </c>
      <c r="C114" s="472" t="s">
        <v>193</v>
      </c>
      <c r="D114" s="428" t="s">
        <v>3276</v>
      </c>
      <c r="E114" s="475">
        <v>0.38</v>
      </c>
      <c r="F114" s="456">
        <v>0.38</v>
      </c>
      <c r="G114" s="427" t="s">
        <v>3401</v>
      </c>
      <c r="H114" s="427" t="s">
        <v>3360</v>
      </c>
      <c r="I114" s="456">
        <v>0.22</v>
      </c>
      <c r="J114" s="458">
        <f t="shared" si="10"/>
        <v>0.57894736842105265</v>
      </c>
      <c r="K114" s="473">
        <v>43361</v>
      </c>
      <c r="L114" s="456"/>
      <c r="M114" s="467" t="str">
        <f t="shared" si="11"/>
        <v/>
      </c>
      <c r="N114" s="456">
        <v>0.33500000000000002</v>
      </c>
      <c r="O114" s="467">
        <f t="shared" si="12"/>
        <v>0.88157894736842113</v>
      </c>
      <c r="P114" s="456">
        <v>0.33500000000000002</v>
      </c>
      <c r="Q114" s="458">
        <f t="shared" si="13"/>
        <v>0.88157894736842113</v>
      </c>
      <c r="R114" s="432" t="s">
        <v>1488</v>
      </c>
      <c r="S114" s="436">
        <v>2019</v>
      </c>
    </row>
    <row r="115" spans="1:19" ht="56.25">
      <c r="A115" s="457" t="s">
        <v>2154</v>
      </c>
      <c r="B115" s="471" t="s">
        <v>2150</v>
      </c>
      <c r="C115" s="472" t="s">
        <v>194</v>
      </c>
      <c r="D115" s="428" t="s">
        <v>3276</v>
      </c>
      <c r="E115" s="475">
        <v>1.34</v>
      </c>
      <c r="F115" s="456">
        <v>1.34</v>
      </c>
      <c r="G115" s="427" t="s">
        <v>3360</v>
      </c>
      <c r="H115" s="427" t="s">
        <v>3398</v>
      </c>
      <c r="I115" s="456">
        <v>1.34</v>
      </c>
      <c r="J115" s="458">
        <f t="shared" si="10"/>
        <v>1</v>
      </c>
      <c r="K115" s="473">
        <v>43361</v>
      </c>
      <c r="L115" s="456"/>
      <c r="M115" s="467" t="str">
        <f t="shared" si="11"/>
        <v/>
      </c>
      <c r="N115" s="456">
        <v>1.34</v>
      </c>
      <c r="O115" s="467">
        <f t="shared" si="12"/>
        <v>1</v>
      </c>
      <c r="P115" s="456">
        <v>1.34</v>
      </c>
      <c r="Q115" s="458">
        <f t="shared" si="13"/>
        <v>1</v>
      </c>
      <c r="R115" s="432" t="s">
        <v>1488</v>
      </c>
      <c r="S115" s="436">
        <v>2019</v>
      </c>
    </row>
    <row r="116" spans="1:19" ht="56.25">
      <c r="A116" s="457" t="s">
        <v>2155</v>
      </c>
      <c r="B116" s="471" t="s">
        <v>2141</v>
      </c>
      <c r="C116" s="472" t="s">
        <v>195</v>
      </c>
      <c r="D116" s="428" t="s">
        <v>3276</v>
      </c>
      <c r="E116" s="475">
        <v>2.74</v>
      </c>
      <c r="F116" s="456">
        <v>2.74</v>
      </c>
      <c r="G116" s="427" t="s">
        <v>3402</v>
      </c>
      <c r="H116" s="427" t="s">
        <v>3392</v>
      </c>
      <c r="I116" s="456">
        <v>0.52</v>
      </c>
      <c r="J116" s="458">
        <f t="shared" si="10"/>
        <v>0.18978102189781021</v>
      </c>
      <c r="K116" s="473">
        <v>43361</v>
      </c>
      <c r="L116" s="456"/>
      <c r="M116" s="467" t="str">
        <f t="shared" si="11"/>
        <v/>
      </c>
      <c r="N116" s="456">
        <v>2.72</v>
      </c>
      <c r="O116" s="467">
        <f t="shared" si="12"/>
        <v>0.99270072992700731</v>
      </c>
      <c r="P116" s="456">
        <v>2.74</v>
      </c>
      <c r="Q116" s="458">
        <f t="shared" si="13"/>
        <v>1</v>
      </c>
      <c r="R116" s="432" t="s">
        <v>1488</v>
      </c>
      <c r="S116" s="436">
        <v>2019</v>
      </c>
    </row>
    <row r="117" spans="1:19" ht="56.25">
      <c r="A117" s="457" t="s">
        <v>2156</v>
      </c>
      <c r="B117" s="471" t="s">
        <v>2157</v>
      </c>
      <c r="C117" s="472" t="s">
        <v>196</v>
      </c>
      <c r="D117" s="428" t="s">
        <v>3276</v>
      </c>
      <c r="E117" s="475">
        <v>1.51</v>
      </c>
      <c r="F117" s="456">
        <v>1.51</v>
      </c>
      <c r="G117" s="427" t="s">
        <v>3403</v>
      </c>
      <c r="H117" s="427" t="s">
        <v>3404</v>
      </c>
      <c r="I117" s="25">
        <v>0</v>
      </c>
      <c r="J117" s="458">
        <f t="shared" si="10"/>
        <v>0</v>
      </c>
      <c r="K117" s="473">
        <v>43361</v>
      </c>
      <c r="L117" s="456"/>
      <c r="M117" s="467" t="str">
        <f t="shared" si="11"/>
        <v/>
      </c>
      <c r="N117" s="456">
        <v>0</v>
      </c>
      <c r="O117" s="467">
        <f t="shared" si="12"/>
        <v>0</v>
      </c>
      <c r="P117" s="456">
        <v>1.51</v>
      </c>
      <c r="Q117" s="458">
        <f t="shared" si="13"/>
        <v>1</v>
      </c>
      <c r="R117" s="432" t="s">
        <v>1488</v>
      </c>
      <c r="S117" s="436">
        <v>2019</v>
      </c>
    </row>
    <row r="118" spans="1:19" ht="56.25">
      <c r="A118" s="457" t="s">
        <v>2158</v>
      </c>
      <c r="B118" s="471" t="s">
        <v>2157</v>
      </c>
      <c r="C118" s="472" t="s">
        <v>197</v>
      </c>
      <c r="D118" s="428" t="s">
        <v>3276</v>
      </c>
      <c r="E118" s="456">
        <v>0.45200000000000001</v>
      </c>
      <c r="F118" s="456">
        <v>0.45200000000000001</v>
      </c>
      <c r="G118" s="427" t="s">
        <v>3404</v>
      </c>
      <c r="H118" s="427" t="s">
        <v>3405</v>
      </c>
      <c r="I118" s="25">
        <v>0</v>
      </c>
      <c r="J118" s="458">
        <f t="shared" si="10"/>
        <v>0</v>
      </c>
      <c r="K118" s="473">
        <v>43362</v>
      </c>
      <c r="L118" s="456"/>
      <c r="M118" s="467"/>
      <c r="N118" s="456"/>
      <c r="O118" s="467"/>
      <c r="P118" s="456"/>
      <c r="Q118" s="458"/>
      <c r="R118" s="432" t="s">
        <v>1488</v>
      </c>
      <c r="S118" s="436">
        <v>2019</v>
      </c>
    </row>
    <row r="119" spans="1:19" ht="56.25">
      <c r="A119" s="457" t="s">
        <v>2159</v>
      </c>
      <c r="B119" s="471" t="s">
        <v>2157</v>
      </c>
      <c r="C119" s="472" t="s">
        <v>198</v>
      </c>
      <c r="D119" s="428" t="s">
        <v>3276</v>
      </c>
      <c r="E119" s="475">
        <v>1.39</v>
      </c>
      <c r="F119" s="475">
        <v>1.39</v>
      </c>
      <c r="G119" s="427" t="s">
        <v>3406</v>
      </c>
      <c r="H119" s="427" t="s">
        <v>3407</v>
      </c>
      <c r="I119" s="456">
        <v>1.0900000000000001</v>
      </c>
      <c r="J119" s="458">
        <f t="shared" si="10"/>
        <v>0.78417266187050372</v>
      </c>
      <c r="K119" s="473">
        <v>43361</v>
      </c>
      <c r="L119" s="456"/>
      <c r="M119" s="467" t="str">
        <f t="shared" si="11"/>
        <v/>
      </c>
      <c r="N119" s="475">
        <v>1.39</v>
      </c>
      <c r="O119" s="467">
        <f t="shared" ref="O119:O182" si="14">N119/F119</f>
        <v>1</v>
      </c>
      <c r="P119" s="475">
        <v>1.39</v>
      </c>
      <c r="Q119" s="458">
        <f t="shared" ref="Q119:Q182" si="15">P119/F119</f>
        <v>1</v>
      </c>
      <c r="R119" s="432" t="s">
        <v>1488</v>
      </c>
      <c r="S119" s="436">
        <v>2019</v>
      </c>
    </row>
    <row r="120" spans="1:19" ht="56.25">
      <c r="A120" s="457" t="s">
        <v>2160</v>
      </c>
      <c r="B120" s="471" t="s">
        <v>2157</v>
      </c>
      <c r="C120" s="472" t="s">
        <v>199</v>
      </c>
      <c r="D120" s="428" t="s">
        <v>3276</v>
      </c>
      <c r="E120" s="475">
        <v>0.52</v>
      </c>
      <c r="F120" s="456">
        <v>0.52</v>
      </c>
      <c r="G120" s="427" t="s">
        <v>3408</v>
      </c>
      <c r="H120" s="427" t="s">
        <v>3406</v>
      </c>
      <c r="I120" s="456">
        <v>0.52</v>
      </c>
      <c r="J120" s="458">
        <f t="shared" si="10"/>
        <v>1</v>
      </c>
      <c r="K120" s="473">
        <v>43361</v>
      </c>
      <c r="L120" s="456"/>
      <c r="M120" s="467" t="str">
        <f t="shared" si="11"/>
        <v/>
      </c>
      <c r="N120" s="456">
        <v>0.52</v>
      </c>
      <c r="O120" s="467">
        <f t="shared" si="14"/>
        <v>1</v>
      </c>
      <c r="P120" s="456">
        <v>0.52</v>
      </c>
      <c r="Q120" s="458">
        <f t="shared" si="15"/>
        <v>1</v>
      </c>
      <c r="R120" s="432" t="s">
        <v>1488</v>
      </c>
      <c r="S120" s="436">
        <v>2019</v>
      </c>
    </row>
    <row r="121" spans="1:19" ht="56.25">
      <c r="A121" s="457" t="s">
        <v>2161</v>
      </c>
      <c r="B121" s="471" t="s">
        <v>2162</v>
      </c>
      <c r="C121" s="472" t="s">
        <v>200</v>
      </c>
      <c r="D121" s="428" t="s">
        <v>3276</v>
      </c>
      <c r="E121" s="475">
        <v>0.25</v>
      </c>
      <c r="F121" s="456">
        <v>0.25</v>
      </c>
      <c r="G121" s="427" t="s">
        <v>3409</v>
      </c>
      <c r="H121" s="427" t="s">
        <v>3410</v>
      </c>
      <c r="I121" s="456"/>
      <c r="J121" s="458" t="str">
        <f t="shared" si="10"/>
        <v/>
      </c>
      <c r="K121" s="473"/>
      <c r="L121" s="456">
        <v>0</v>
      </c>
      <c r="M121" s="467">
        <f t="shared" si="11"/>
        <v>0</v>
      </c>
      <c r="N121" s="456">
        <v>0</v>
      </c>
      <c r="O121" s="467">
        <f t="shared" si="14"/>
        <v>0</v>
      </c>
      <c r="P121" s="456">
        <v>0.25</v>
      </c>
      <c r="Q121" s="458">
        <f t="shared" si="15"/>
        <v>1</v>
      </c>
      <c r="R121" s="432" t="s">
        <v>1488</v>
      </c>
      <c r="S121" s="436">
        <v>2019</v>
      </c>
    </row>
    <row r="122" spans="1:19" ht="56.25">
      <c r="A122" s="457" t="s">
        <v>2163</v>
      </c>
      <c r="B122" s="471" t="s">
        <v>2162</v>
      </c>
      <c r="C122" s="472" t="s">
        <v>201</v>
      </c>
      <c r="D122" s="428" t="s">
        <v>3276</v>
      </c>
      <c r="E122" s="475">
        <v>1.19</v>
      </c>
      <c r="F122" s="456">
        <v>1.19</v>
      </c>
      <c r="G122" s="427" t="s">
        <v>3411</v>
      </c>
      <c r="H122" s="427" t="s">
        <v>3412</v>
      </c>
      <c r="I122" s="456"/>
      <c r="J122" s="458" t="str">
        <f t="shared" si="10"/>
        <v/>
      </c>
      <c r="K122" s="473"/>
      <c r="L122" s="456">
        <v>0</v>
      </c>
      <c r="M122" s="467">
        <f t="shared" si="11"/>
        <v>0</v>
      </c>
      <c r="N122" s="456">
        <v>0</v>
      </c>
      <c r="O122" s="467">
        <f t="shared" si="14"/>
        <v>0</v>
      </c>
      <c r="P122" s="456">
        <v>1.19</v>
      </c>
      <c r="Q122" s="458">
        <f t="shared" si="15"/>
        <v>1</v>
      </c>
      <c r="R122" s="432" t="s">
        <v>1488</v>
      </c>
      <c r="S122" s="436">
        <v>2019</v>
      </c>
    </row>
    <row r="123" spans="1:19" ht="56.25">
      <c r="A123" s="457" t="s">
        <v>2164</v>
      </c>
      <c r="B123" s="471" t="s">
        <v>2162</v>
      </c>
      <c r="C123" s="472" t="s">
        <v>202</v>
      </c>
      <c r="D123" s="428" t="s">
        <v>3276</v>
      </c>
      <c r="E123" s="475">
        <v>0.39</v>
      </c>
      <c r="F123" s="456">
        <v>0.39</v>
      </c>
      <c r="G123" s="427" t="s">
        <v>3412</v>
      </c>
      <c r="H123" s="427" t="s">
        <v>3409</v>
      </c>
      <c r="I123" s="456"/>
      <c r="J123" s="458" t="str">
        <f t="shared" si="10"/>
        <v/>
      </c>
      <c r="K123" s="473"/>
      <c r="L123" s="456">
        <v>0</v>
      </c>
      <c r="M123" s="467">
        <f t="shared" si="11"/>
        <v>0</v>
      </c>
      <c r="N123" s="456">
        <v>0</v>
      </c>
      <c r="O123" s="467">
        <f t="shared" si="14"/>
        <v>0</v>
      </c>
      <c r="P123" s="456">
        <v>0.39</v>
      </c>
      <c r="Q123" s="458">
        <f t="shared" si="15"/>
        <v>1</v>
      </c>
      <c r="R123" s="432" t="s">
        <v>1488</v>
      </c>
      <c r="S123" s="436">
        <v>2019</v>
      </c>
    </row>
    <row r="124" spans="1:19" ht="56.25">
      <c r="A124" s="457" t="s">
        <v>2165</v>
      </c>
      <c r="B124" s="471" t="s">
        <v>2166</v>
      </c>
      <c r="C124" s="472" t="s">
        <v>203</v>
      </c>
      <c r="D124" s="428" t="s">
        <v>3276</v>
      </c>
      <c r="E124" s="475">
        <v>0.14000000000000001</v>
      </c>
      <c r="F124" s="456">
        <v>0.14000000000000001</v>
      </c>
      <c r="G124" s="427" t="s">
        <v>3339</v>
      </c>
      <c r="H124" s="427" t="s">
        <v>3411</v>
      </c>
      <c r="I124" s="456"/>
      <c r="J124" s="458" t="str">
        <f t="shared" si="10"/>
        <v/>
      </c>
      <c r="K124" s="473"/>
      <c r="L124" s="456">
        <v>0</v>
      </c>
      <c r="M124" s="467">
        <f t="shared" si="11"/>
        <v>0</v>
      </c>
      <c r="N124" s="456">
        <v>0</v>
      </c>
      <c r="O124" s="467">
        <f t="shared" si="14"/>
        <v>0</v>
      </c>
      <c r="P124" s="456">
        <v>0.14000000000000001</v>
      </c>
      <c r="Q124" s="458">
        <f t="shared" si="15"/>
        <v>1</v>
      </c>
      <c r="R124" s="432" t="s">
        <v>1488</v>
      </c>
      <c r="S124" s="436">
        <v>2019</v>
      </c>
    </row>
    <row r="125" spans="1:19" ht="56.25">
      <c r="A125" s="457" t="s">
        <v>2167</v>
      </c>
      <c r="B125" s="471" t="s">
        <v>2148</v>
      </c>
      <c r="C125" s="472" t="s">
        <v>204</v>
      </c>
      <c r="D125" s="428" t="s">
        <v>3276</v>
      </c>
      <c r="E125" s="475">
        <v>0.38</v>
      </c>
      <c r="F125" s="456">
        <v>0.38</v>
      </c>
      <c r="G125" s="427" t="s">
        <v>3413</v>
      </c>
      <c r="H125" s="427" t="s">
        <v>3316</v>
      </c>
      <c r="I125" s="456"/>
      <c r="J125" s="458" t="str">
        <f t="shared" si="10"/>
        <v/>
      </c>
      <c r="K125" s="473"/>
      <c r="L125" s="456">
        <v>0</v>
      </c>
      <c r="M125" s="467">
        <f t="shared" si="11"/>
        <v>0</v>
      </c>
      <c r="N125" s="456">
        <v>0</v>
      </c>
      <c r="O125" s="467">
        <f t="shared" si="14"/>
        <v>0</v>
      </c>
      <c r="P125" s="456">
        <v>0.38</v>
      </c>
      <c r="Q125" s="458">
        <f t="shared" si="15"/>
        <v>1</v>
      </c>
      <c r="R125" s="432" t="s">
        <v>1488</v>
      </c>
      <c r="S125" s="436">
        <v>2019</v>
      </c>
    </row>
    <row r="126" spans="1:19" ht="56.25">
      <c r="A126" s="457" t="s">
        <v>2168</v>
      </c>
      <c r="B126" s="471" t="s">
        <v>2148</v>
      </c>
      <c r="C126" s="472" t="s">
        <v>205</v>
      </c>
      <c r="D126" s="428" t="s">
        <v>3276</v>
      </c>
      <c r="E126" s="475">
        <v>0.78</v>
      </c>
      <c r="F126" s="456">
        <v>0.78</v>
      </c>
      <c r="G126" s="427" t="s">
        <v>3413</v>
      </c>
      <c r="H126" s="427" t="s">
        <v>3313</v>
      </c>
      <c r="I126" s="456"/>
      <c r="J126" s="458" t="str">
        <f t="shared" si="10"/>
        <v/>
      </c>
      <c r="K126" s="473"/>
      <c r="L126" s="456">
        <v>0</v>
      </c>
      <c r="M126" s="467">
        <f t="shared" si="11"/>
        <v>0</v>
      </c>
      <c r="N126" s="456">
        <v>0</v>
      </c>
      <c r="O126" s="467">
        <f t="shared" si="14"/>
        <v>0</v>
      </c>
      <c r="P126" s="456">
        <v>0.78</v>
      </c>
      <c r="Q126" s="458">
        <f t="shared" si="15"/>
        <v>1</v>
      </c>
      <c r="R126" s="432" t="s">
        <v>1488</v>
      </c>
      <c r="S126" s="436">
        <v>2019</v>
      </c>
    </row>
    <row r="127" spans="1:19" ht="56.25">
      <c r="A127" s="457" t="s">
        <v>2169</v>
      </c>
      <c r="B127" s="471" t="s">
        <v>2170</v>
      </c>
      <c r="C127" s="472" t="s">
        <v>206</v>
      </c>
      <c r="D127" s="428" t="s">
        <v>3276</v>
      </c>
      <c r="E127" s="475">
        <v>3.25</v>
      </c>
      <c r="F127" s="456">
        <v>3.25</v>
      </c>
      <c r="G127" s="427" t="s">
        <v>3414</v>
      </c>
      <c r="H127" s="427" t="s">
        <v>3370</v>
      </c>
      <c r="I127" s="456">
        <v>2.21</v>
      </c>
      <c r="J127" s="458">
        <f t="shared" si="10"/>
        <v>0.67999999999999994</v>
      </c>
      <c r="K127" s="473">
        <v>43361</v>
      </c>
      <c r="L127" s="456"/>
      <c r="M127" s="467" t="str">
        <f t="shared" si="11"/>
        <v/>
      </c>
      <c r="N127" s="456">
        <v>2.58</v>
      </c>
      <c r="O127" s="467">
        <f t="shared" si="14"/>
        <v>0.79384615384615387</v>
      </c>
      <c r="P127" s="456">
        <v>3.25</v>
      </c>
      <c r="Q127" s="458">
        <f t="shared" si="15"/>
        <v>1</v>
      </c>
      <c r="R127" s="432" t="s">
        <v>1488</v>
      </c>
      <c r="S127" s="436">
        <v>2019</v>
      </c>
    </row>
    <row r="128" spans="1:19" ht="56.25">
      <c r="A128" s="457" t="s">
        <v>2171</v>
      </c>
      <c r="B128" s="471" t="s">
        <v>2172</v>
      </c>
      <c r="C128" s="472" t="s">
        <v>207</v>
      </c>
      <c r="D128" s="428" t="s">
        <v>3276</v>
      </c>
      <c r="E128" s="475">
        <v>0.08</v>
      </c>
      <c r="F128" s="456">
        <v>0.08</v>
      </c>
      <c r="G128" s="427" t="s">
        <v>3351</v>
      </c>
      <c r="H128" s="427" t="s">
        <v>3316</v>
      </c>
      <c r="I128" s="456"/>
      <c r="J128" s="458" t="str">
        <f t="shared" si="10"/>
        <v/>
      </c>
      <c r="K128" s="473"/>
      <c r="L128" s="456">
        <v>0</v>
      </c>
      <c r="M128" s="467">
        <f t="shared" si="11"/>
        <v>0</v>
      </c>
      <c r="N128" s="456">
        <v>0</v>
      </c>
      <c r="O128" s="467">
        <f t="shared" si="14"/>
        <v>0</v>
      </c>
      <c r="P128" s="456">
        <v>0.08</v>
      </c>
      <c r="Q128" s="458">
        <f t="shared" si="15"/>
        <v>1</v>
      </c>
      <c r="R128" s="432" t="s">
        <v>1488</v>
      </c>
      <c r="S128" s="436">
        <v>2019</v>
      </c>
    </row>
    <row r="129" spans="1:19" ht="56.25">
      <c r="A129" s="457" t="s">
        <v>2173</v>
      </c>
      <c r="B129" s="471" t="s">
        <v>2174</v>
      </c>
      <c r="C129" s="472" t="s">
        <v>208</v>
      </c>
      <c r="D129" s="428" t="s">
        <v>3276</v>
      </c>
      <c r="E129" s="475">
        <v>0.69</v>
      </c>
      <c r="F129" s="456">
        <v>0.69</v>
      </c>
      <c r="G129" s="427" t="s">
        <v>3313</v>
      </c>
      <c r="H129" s="427" t="s">
        <v>3338</v>
      </c>
      <c r="I129" s="456"/>
      <c r="J129" s="458" t="str">
        <f t="shared" si="10"/>
        <v/>
      </c>
      <c r="K129" s="473"/>
      <c r="L129" s="456">
        <v>0</v>
      </c>
      <c r="M129" s="467">
        <f t="shared" si="11"/>
        <v>0</v>
      </c>
      <c r="N129" s="456">
        <v>0</v>
      </c>
      <c r="O129" s="467">
        <f t="shared" si="14"/>
        <v>0</v>
      </c>
      <c r="P129" s="456">
        <v>0.69</v>
      </c>
      <c r="Q129" s="458">
        <f t="shared" si="15"/>
        <v>1</v>
      </c>
      <c r="R129" s="432" t="s">
        <v>1488</v>
      </c>
      <c r="S129" s="436">
        <v>2019</v>
      </c>
    </row>
    <row r="130" spans="1:19" ht="56.25">
      <c r="A130" s="457" t="s">
        <v>2175</v>
      </c>
      <c r="B130" s="471" t="s">
        <v>2059</v>
      </c>
      <c r="C130" s="472" t="s">
        <v>209</v>
      </c>
      <c r="D130" s="428" t="s">
        <v>3276</v>
      </c>
      <c r="E130" s="475">
        <v>0.84</v>
      </c>
      <c r="F130" s="456">
        <v>0.84</v>
      </c>
      <c r="G130" s="427" t="s">
        <v>3415</v>
      </c>
      <c r="H130" s="427" t="s">
        <v>3416</v>
      </c>
      <c r="I130" s="456">
        <v>0.77</v>
      </c>
      <c r="J130" s="458">
        <f t="shared" si="10"/>
        <v>0.91666666666666674</v>
      </c>
      <c r="K130" s="473">
        <v>43361</v>
      </c>
      <c r="L130" s="456"/>
      <c r="M130" s="467" t="str">
        <f t="shared" si="11"/>
        <v/>
      </c>
      <c r="N130" s="456">
        <v>0.77</v>
      </c>
      <c r="O130" s="467">
        <f t="shared" si="14"/>
        <v>0.91666666666666674</v>
      </c>
      <c r="P130" s="456">
        <v>0.84</v>
      </c>
      <c r="Q130" s="458">
        <f t="shared" si="15"/>
        <v>1</v>
      </c>
      <c r="R130" s="432" t="s">
        <v>1488</v>
      </c>
      <c r="S130" s="436">
        <v>2019</v>
      </c>
    </row>
    <row r="131" spans="1:19" ht="56.25">
      <c r="A131" s="457" t="s">
        <v>2176</v>
      </c>
      <c r="B131" s="471" t="s">
        <v>2177</v>
      </c>
      <c r="C131" s="472" t="s">
        <v>210</v>
      </c>
      <c r="D131" s="428" t="s">
        <v>3276</v>
      </c>
      <c r="E131" s="475">
        <v>5.7</v>
      </c>
      <c r="F131" s="456">
        <v>5.7</v>
      </c>
      <c r="G131" s="427" t="s">
        <v>3374</v>
      </c>
      <c r="H131" s="427" t="s">
        <v>3313</v>
      </c>
      <c r="I131" s="456"/>
      <c r="J131" s="458" t="str">
        <f t="shared" si="10"/>
        <v/>
      </c>
      <c r="K131" s="473"/>
      <c r="L131" s="456">
        <v>0</v>
      </c>
      <c r="M131" s="467">
        <f t="shared" si="11"/>
        <v>0</v>
      </c>
      <c r="N131" s="456">
        <v>0</v>
      </c>
      <c r="O131" s="467">
        <f t="shared" si="14"/>
        <v>0</v>
      </c>
      <c r="P131" s="456">
        <v>5.7</v>
      </c>
      <c r="Q131" s="458">
        <f t="shared" si="15"/>
        <v>1</v>
      </c>
      <c r="R131" s="432" t="s">
        <v>1488</v>
      </c>
      <c r="S131" s="436">
        <v>2019</v>
      </c>
    </row>
    <row r="132" spans="1:19" ht="56.25">
      <c r="A132" s="457" t="s">
        <v>2178</v>
      </c>
      <c r="B132" s="471" t="s">
        <v>2120</v>
      </c>
      <c r="C132" s="472" t="s">
        <v>211</v>
      </c>
      <c r="D132" s="428" t="s">
        <v>3276</v>
      </c>
      <c r="E132" s="475">
        <v>2.39</v>
      </c>
      <c r="F132" s="456">
        <v>2.39</v>
      </c>
      <c r="G132" s="427" t="s">
        <v>3357</v>
      </c>
      <c r="H132" s="427" t="s">
        <v>3417</v>
      </c>
      <c r="I132" s="456"/>
      <c r="J132" s="458" t="str">
        <f t="shared" si="10"/>
        <v/>
      </c>
      <c r="K132" s="473"/>
      <c r="L132" s="456">
        <v>0</v>
      </c>
      <c r="M132" s="467">
        <f t="shared" si="11"/>
        <v>0</v>
      </c>
      <c r="N132" s="456">
        <v>0</v>
      </c>
      <c r="O132" s="467">
        <f t="shared" si="14"/>
        <v>0</v>
      </c>
      <c r="P132" s="456">
        <v>2.39</v>
      </c>
      <c r="Q132" s="458">
        <f t="shared" si="15"/>
        <v>1</v>
      </c>
      <c r="R132" s="432" t="s">
        <v>1488</v>
      </c>
      <c r="S132" s="436">
        <v>2019</v>
      </c>
    </row>
    <row r="133" spans="1:19" ht="56.25">
      <c r="A133" s="457" t="s">
        <v>2179</v>
      </c>
      <c r="B133" s="471" t="s">
        <v>2146</v>
      </c>
      <c r="C133" s="472" t="s">
        <v>212</v>
      </c>
      <c r="D133" s="428" t="s">
        <v>3276</v>
      </c>
      <c r="E133" s="475">
        <v>0.28000000000000003</v>
      </c>
      <c r="F133" s="456">
        <v>0.28000000000000003</v>
      </c>
      <c r="G133" s="427" t="s">
        <v>3395</v>
      </c>
      <c r="H133" s="427" t="s">
        <v>3313</v>
      </c>
      <c r="I133" s="456"/>
      <c r="J133" s="458" t="str">
        <f t="shared" si="10"/>
        <v/>
      </c>
      <c r="K133" s="473"/>
      <c r="L133" s="456">
        <v>0</v>
      </c>
      <c r="M133" s="467">
        <f t="shared" si="11"/>
        <v>0</v>
      </c>
      <c r="N133" s="456">
        <v>0</v>
      </c>
      <c r="O133" s="467">
        <f t="shared" si="14"/>
        <v>0</v>
      </c>
      <c r="P133" s="456">
        <v>0.28000000000000003</v>
      </c>
      <c r="Q133" s="458">
        <f t="shared" si="15"/>
        <v>1</v>
      </c>
      <c r="R133" s="432" t="s">
        <v>1488</v>
      </c>
      <c r="S133" s="436">
        <v>2019</v>
      </c>
    </row>
    <row r="134" spans="1:19" ht="56.25">
      <c r="A134" s="457" t="s">
        <v>2180</v>
      </c>
      <c r="B134" s="471" t="s">
        <v>2125</v>
      </c>
      <c r="C134" s="472" t="s">
        <v>213</v>
      </c>
      <c r="D134" s="428" t="s">
        <v>3276</v>
      </c>
      <c r="E134" s="475">
        <v>0.52</v>
      </c>
      <c r="F134" s="456">
        <v>0.52</v>
      </c>
      <c r="G134" s="427" t="s">
        <v>3418</v>
      </c>
      <c r="H134" s="427" t="s">
        <v>3419</v>
      </c>
      <c r="I134" s="456"/>
      <c r="J134" s="458" t="str">
        <f t="shared" si="10"/>
        <v/>
      </c>
      <c r="K134" s="473"/>
      <c r="L134" s="456">
        <v>0</v>
      </c>
      <c r="M134" s="467">
        <f t="shared" si="11"/>
        <v>0</v>
      </c>
      <c r="N134" s="456">
        <v>0</v>
      </c>
      <c r="O134" s="467">
        <f t="shared" si="14"/>
        <v>0</v>
      </c>
      <c r="P134" s="456">
        <v>0.52</v>
      </c>
      <c r="Q134" s="458">
        <f t="shared" si="15"/>
        <v>1</v>
      </c>
      <c r="R134" s="432" t="s">
        <v>1488</v>
      </c>
      <c r="S134" s="436">
        <v>2019</v>
      </c>
    </row>
    <row r="135" spans="1:19" ht="56.25">
      <c r="A135" s="457" t="s">
        <v>2181</v>
      </c>
      <c r="B135" s="471" t="s">
        <v>2125</v>
      </c>
      <c r="C135" s="472" t="s">
        <v>214</v>
      </c>
      <c r="D135" s="428" t="s">
        <v>3276</v>
      </c>
      <c r="E135" s="475">
        <v>0.28000000000000003</v>
      </c>
      <c r="F135" s="456">
        <v>0.28000000000000003</v>
      </c>
      <c r="G135" s="427" t="s">
        <v>3419</v>
      </c>
      <c r="H135" s="427" t="s">
        <v>3420</v>
      </c>
      <c r="I135" s="456"/>
      <c r="J135" s="458" t="str">
        <f t="shared" si="10"/>
        <v/>
      </c>
      <c r="K135" s="473"/>
      <c r="L135" s="456">
        <v>0</v>
      </c>
      <c r="M135" s="467">
        <f t="shared" si="11"/>
        <v>0</v>
      </c>
      <c r="N135" s="456">
        <v>0</v>
      </c>
      <c r="O135" s="467">
        <f t="shared" si="14"/>
        <v>0</v>
      </c>
      <c r="P135" s="456">
        <v>0.28000000000000003</v>
      </c>
      <c r="Q135" s="458">
        <f t="shared" si="15"/>
        <v>1</v>
      </c>
      <c r="R135" s="432" t="s">
        <v>1488</v>
      </c>
      <c r="S135" s="436">
        <v>2019</v>
      </c>
    </row>
    <row r="136" spans="1:19" ht="56.25">
      <c r="A136" s="457" t="s">
        <v>2182</v>
      </c>
      <c r="B136" s="471" t="s">
        <v>2183</v>
      </c>
      <c r="C136" s="472" t="s">
        <v>215</v>
      </c>
      <c r="D136" s="428" t="s">
        <v>3276</v>
      </c>
      <c r="E136" s="475">
        <v>1.98</v>
      </c>
      <c r="F136" s="456">
        <v>1.98</v>
      </c>
      <c r="G136" s="427" t="s">
        <v>3421</v>
      </c>
      <c r="H136" s="427" t="s">
        <v>3417</v>
      </c>
      <c r="I136" s="456">
        <v>1.9</v>
      </c>
      <c r="J136" s="458">
        <f t="shared" si="10"/>
        <v>0.95959595959595956</v>
      </c>
      <c r="K136" s="473">
        <v>43361</v>
      </c>
      <c r="L136" s="456"/>
      <c r="M136" s="467" t="str">
        <f t="shared" si="11"/>
        <v/>
      </c>
      <c r="N136" s="456">
        <v>1.9</v>
      </c>
      <c r="O136" s="467">
        <f t="shared" si="14"/>
        <v>0.95959595959595956</v>
      </c>
      <c r="P136" s="456">
        <v>1.98</v>
      </c>
      <c r="Q136" s="458">
        <f t="shared" si="15"/>
        <v>1</v>
      </c>
      <c r="R136" s="432" t="s">
        <v>1488</v>
      </c>
      <c r="S136" s="436">
        <v>2019</v>
      </c>
    </row>
    <row r="137" spans="1:19" ht="56.25">
      <c r="A137" s="457" t="s">
        <v>2184</v>
      </c>
      <c r="B137" s="471" t="s">
        <v>2185</v>
      </c>
      <c r="C137" s="472" t="s">
        <v>216</v>
      </c>
      <c r="D137" s="428" t="s">
        <v>3276</v>
      </c>
      <c r="E137" s="475">
        <v>0.76</v>
      </c>
      <c r="F137" s="456">
        <v>0.76</v>
      </c>
      <c r="G137" s="427" t="s">
        <v>3422</v>
      </c>
      <c r="H137" s="427" t="s">
        <v>3354</v>
      </c>
      <c r="I137" s="456"/>
      <c r="J137" s="458" t="str">
        <f t="shared" si="10"/>
        <v/>
      </c>
      <c r="K137" s="473"/>
      <c r="L137" s="456">
        <v>0</v>
      </c>
      <c r="M137" s="467">
        <f t="shared" si="11"/>
        <v>0</v>
      </c>
      <c r="N137" s="456">
        <v>0</v>
      </c>
      <c r="O137" s="467">
        <f t="shared" si="14"/>
        <v>0</v>
      </c>
      <c r="P137" s="456">
        <v>0.76</v>
      </c>
      <c r="Q137" s="458">
        <f t="shared" si="15"/>
        <v>1</v>
      </c>
      <c r="R137" s="432" t="s">
        <v>1488</v>
      </c>
      <c r="S137" s="436">
        <v>2019</v>
      </c>
    </row>
    <row r="138" spans="1:19" ht="56.25">
      <c r="A138" s="457" t="s">
        <v>2186</v>
      </c>
      <c r="B138" s="471" t="s">
        <v>2187</v>
      </c>
      <c r="C138" s="472" t="s">
        <v>217</v>
      </c>
      <c r="D138" s="428" t="s">
        <v>3276</v>
      </c>
      <c r="E138" s="475">
        <v>3.66</v>
      </c>
      <c r="F138" s="456">
        <v>3.66</v>
      </c>
      <c r="G138" s="427" t="s">
        <v>3423</v>
      </c>
      <c r="H138" s="427" t="s">
        <v>3424</v>
      </c>
      <c r="I138" s="456"/>
      <c r="J138" s="458" t="str">
        <f t="shared" si="10"/>
        <v/>
      </c>
      <c r="K138" s="473"/>
      <c r="L138" s="456">
        <v>0</v>
      </c>
      <c r="M138" s="467">
        <f t="shared" si="11"/>
        <v>0</v>
      </c>
      <c r="N138" s="456">
        <v>0</v>
      </c>
      <c r="O138" s="467">
        <f t="shared" si="14"/>
        <v>0</v>
      </c>
      <c r="P138" s="456">
        <v>3.66</v>
      </c>
      <c r="Q138" s="458">
        <f t="shared" si="15"/>
        <v>1</v>
      </c>
      <c r="R138" s="432" t="s">
        <v>1488</v>
      </c>
      <c r="S138" s="436">
        <v>2019</v>
      </c>
    </row>
    <row r="139" spans="1:19" ht="56.25">
      <c r="A139" s="457" t="s">
        <v>2188</v>
      </c>
      <c r="B139" s="471" t="s">
        <v>2063</v>
      </c>
      <c r="C139" s="472" t="s">
        <v>218</v>
      </c>
      <c r="D139" s="428" t="s">
        <v>3276</v>
      </c>
      <c r="E139" s="475">
        <v>0.46</v>
      </c>
      <c r="F139" s="456">
        <v>0.46</v>
      </c>
      <c r="G139" s="427" t="s">
        <v>3384</v>
      </c>
      <c r="H139" s="427" t="s">
        <v>3314</v>
      </c>
      <c r="I139" s="456"/>
      <c r="J139" s="458" t="str">
        <f t="shared" si="10"/>
        <v/>
      </c>
      <c r="K139" s="473"/>
      <c r="L139" s="456">
        <v>0</v>
      </c>
      <c r="M139" s="467">
        <f t="shared" si="11"/>
        <v>0</v>
      </c>
      <c r="N139" s="456">
        <v>0.46</v>
      </c>
      <c r="O139" s="467">
        <f t="shared" si="14"/>
        <v>1</v>
      </c>
      <c r="P139" s="456">
        <v>0.46</v>
      </c>
      <c r="Q139" s="458">
        <f t="shared" si="15"/>
        <v>1</v>
      </c>
      <c r="R139" s="432" t="s">
        <v>1488</v>
      </c>
      <c r="S139" s="436">
        <v>2019</v>
      </c>
    </row>
    <row r="140" spans="1:19" ht="56.25">
      <c r="A140" s="457" t="s">
        <v>2189</v>
      </c>
      <c r="B140" s="471" t="s">
        <v>2059</v>
      </c>
      <c r="C140" s="472" t="s">
        <v>219</v>
      </c>
      <c r="D140" s="428" t="s">
        <v>3276</v>
      </c>
      <c r="E140" s="475">
        <v>2.17</v>
      </c>
      <c r="F140" s="456">
        <v>2.17</v>
      </c>
      <c r="G140" s="427" t="s">
        <v>3425</v>
      </c>
      <c r="H140" s="427" t="s">
        <v>3426</v>
      </c>
      <c r="I140" s="456"/>
      <c r="J140" s="458" t="str">
        <f t="shared" si="10"/>
        <v/>
      </c>
      <c r="K140" s="473"/>
      <c r="L140" s="456">
        <v>0</v>
      </c>
      <c r="M140" s="467">
        <f t="shared" si="11"/>
        <v>0</v>
      </c>
      <c r="N140" s="456">
        <v>1.56</v>
      </c>
      <c r="O140" s="467">
        <f t="shared" si="14"/>
        <v>0.71889400921658986</v>
      </c>
      <c r="P140" s="456">
        <v>2.17</v>
      </c>
      <c r="Q140" s="458">
        <f t="shared" si="15"/>
        <v>1</v>
      </c>
      <c r="R140" s="432" t="s">
        <v>1488</v>
      </c>
      <c r="S140" s="436">
        <v>2019</v>
      </c>
    </row>
    <row r="141" spans="1:19" ht="56.25">
      <c r="A141" s="457" t="s">
        <v>2190</v>
      </c>
      <c r="B141" s="471" t="s">
        <v>2177</v>
      </c>
      <c r="C141" s="472" t="s">
        <v>220</v>
      </c>
      <c r="D141" s="428" t="s">
        <v>3276</v>
      </c>
      <c r="E141" s="475">
        <v>2.92</v>
      </c>
      <c r="F141" s="456">
        <v>2.92</v>
      </c>
      <c r="G141" s="427" t="s">
        <v>3331</v>
      </c>
      <c r="H141" s="427" t="s">
        <v>3427</v>
      </c>
      <c r="I141" s="456"/>
      <c r="J141" s="458" t="str">
        <f t="shared" si="10"/>
        <v/>
      </c>
      <c r="K141" s="473"/>
      <c r="L141" s="456">
        <v>0</v>
      </c>
      <c r="M141" s="467">
        <f t="shared" si="11"/>
        <v>0</v>
      </c>
      <c r="N141" s="456">
        <v>0</v>
      </c>
      <c r="O141" s="467">
        <f t="shared" si="14"/>
        <v>0</v>
      </c>
      <c r="P141" s="456">
        <v>2.92</v>
      </c>
      <c r="Q141" s="458">
        <f t="shared" si="15"/>
        <v>1</v>
      </c>
      <c r="R141" s="432" t="s">
        <v>1488</v>
      </c>
      <c r="S141" s="436">
        <v>2019</v>
      </c>
    </row>
    <row r="142" spans="1:19" ht="56.25">
      <c r="A142" s="457" t="s">
        <v>2191</v>
      </c>
      <c r="B142" s="471" t="s">
        <v>2192</v>
      </c>
      <c r="C142" s="472" t="s">
        <v>221</v>
      </c>
      <c r="D142" s="428" t="s">
        <v>3276</v>
      </c>
      <c r="E142" s="475">
        <v>0.74</v>
      </c>
      <c r="F142" s="456">
        <v>0.74</v>
      </c>
      <c r="G142" s="427" t="s">
        <v>2645</v>
      </c>
      <c r="H142" s="427" t="s">
        <v>3428</v>
      </c>
      <c r="I142" s="456"/>
      <c r="J142" s="458" t="str">
        <f t="shared" si="10"/>
        <v/>
      </c>
      <c r="K142" s="473"/>
      <c r="L142" s="456">
        <v>0</v>
      </c>
      <c r="M142" s="467">
        <f t="shared" si="11"/>
        <v>0</v>
      </c>
      <c r="N142" s="456">
        <v>0.7</v>
      </c>
      <c r="O142" s="467">
        <f t="shared" si="14"/>
        <v>0.94594594594594594</v>
      </c>
      <c r="P142" s="456">
        <v>0.74</v>
      </c>
      <c r="Q142" s="458">
        <f t="shared" si="15"/>
        <v>1</v>
      </c>
      <c r="R142" s="432" t="s">
        <v>1488</v>
      </c>
      <c r="S142" s="436">
        <v>2019</v>
      </c>
    </row>
    <row r="143" spans="1:19" ht="75">
      <c r="A143" s="457" t="s">
        <v>2193</v>
      </c>
      <c r="B143" s="471" t="s">
        <v>3270</v>
      </c>
      <c r="C143" s="472" t="s">
        <v>222</v>
      </c>
      <c r="D143" s="428" t="s">
        <v>3276</v>
      </c>
      <c r="E143" s="475">
        <v>9.41</v>
      </c>
      <c r="F143" s="456">
        <v>9.41</v>
      </c>
      <c r="G143" s="427" t="s">
        <v>3429</v>
      </c>
      <c r="H143" s="427" t="s">
        <v>3430</v>
      </c>
      <c r="I143" s="456"/>
      <c r="J143" s="458" t="str">
        <f t="shared" si="10"/>
        <v/>
      </c>
      <c r="K143" s="473"/>
      <c r="L143" s="456">
        <v>0</v>
      </c>
      <c r="M143" s="467">
        <f t="shared" si="11"/>
        <v>0</v>
      </c>
      <c r="N143" s="456">
        <v>0</v>
      </c>
      <c r="O143" s="467">
        <f t="shared" si="14"/>
        <v>0</v>
      </c>
      <c r="P143" s="456">
        <v>9.41</v>
      </c>
      <c r="Q143" s="458">
        <f t="shared" si="15"/>
        <v>1</v>
      </c>
      <c r="R143" s="432" t="s">
        <v>1488</v>
      </c>
      <c r="S143" s="436">
        <v>2019</v>
      </c>
    </row>
    <row r="144" spans="1:19" ht="56.25">
      <c r="A144" s="457" t="s">
        <v>2194</v>
      </c>
      <c r="B144" s="471" t="s">
        <v>2195</v>
      </c>
      <c r="C144" s="472" t="s">
        <v>223</v>
      </c>
      <c r="D144" s="428" t="s">
        <v>3276</v>
      </c>
      <c r="E144" s="475">
        <v>0.56899999999999995</v>
      </c>
      <c r="F144" s="456">
        <v>0.56899999999999995</v>
      </c>
      <c r="G144" s="427" t="s">
        <v>3431</v>
      </c>
      <c r="H144" s="427" t="s">
        <v>3328</v>
      </c>
      <c r="I144" s="456"/>
      <c r="J144" s="458" t="str">
        <f t="shared" si="10"/>
        <v/>
      </c>
      <c r="K144" s="473"/>
      <c r="L144" s="456">
        <v>0</v>
      </c>
      <c r="M144" s="467">
        <f t="shared" si="11"/>
        <v>0</v>
      </c>
      <c r="N144" s="456">
        <v>0</v>
      </c>
      <c r="O144" s="467">
        <f t="shared" si="14"/>
        <v>0</v>
      </c>
      <c r="P144" s="456">
        <v>0.56899999999999995</v>
      </c>
      <c r="Q144" s="458">
        <f t="shared" si="15"/>
        <v>1</v>
      </c>
      <c r="R144" s="432" t="s">
        <v>1488</v>
      </c>
      <c r="S144" s="436">
        <v>2019</v>
      </c>
    </row>
    <row r="145" spans="1:19" ht="56.25">
      <c r="A145" s="457" t="s">
        <v>2196</v>
      </c>
      <c r="B145" s="471" t="s">
        <v>2197</v>
      </c>
      <c r="C145" s="472" t="s">
        <v>224</v>
      </c>
      <c r="D145" s="428" t="s">
        <v>3276</v>
      </c>
      <c r="E145" s="475">
        <v>0.78</v>
      </c>
      <c r="F145" s="456">
        <v>0.78</v>
      </c>
      <c r="G145" s="427" t="s">
        <v>3432</v>
      </c>
      <c r="H145" s="427" t="s">
        <v>3429</v>
      </c>
      <c r="I145" s="456"/>
      <c r="J145" s="458" t="str">
        <f t="shared" si="10"/>
        <v/>
      </c>
      <c r="K145" s="473"/>
      <c r="L145" s="456">
        <v>0</v>
      </c>
      <c r="M145" s="467">
        <f t="shared" si="11"/>
        <v>0</v>
      </c>
      <c r="N145" s="456">
        <v>0.78</v>
      </c>
      <c r="O145" s="467">
        <f t="shared" si="14"/>
        <v>1</v>
      </c>
      <c r="P145" s="456">
        <v>0.78</v>
      </c>
      <c r="Q145" s="458">
        <f t="shared" si="15"/>
        <v>1</v>
      </c>
      <c r="R145" s="432" t="s">
        <v>1488</v>
      </c>
      <c r="S145" s="436">
        <v>2019</v>
      </c>
    </row>
    <row r="146" spans="1:19" ht="56.25">
      <c r="A146" s="457" t="s">
        <v>2198</v>
      </c>
      <c r="B146" s="471" t="s">
        <v>2199</v>
      </c>
      <c r="C146" s="472" t="s">
        <v>225</v>
      </c>
      <c r="D146" s="428" t="s">
        <v>3276</v>
      </c>
      <c r="E146" s="475">
        <v>0.749</v>
      </c>
      <c r="F146" s="456">
        <v>0.749</v>
      </c>
      <c r="G146" s="427" t="s">
        <v>3433</v>
      </c>
      <c r="H146" s="427" t="s">
        <v>3434</v>
      </c>
      <c r="I146" s="456"/>
      <c r="J146" s="458" t="str">
        <f t="shared" si="10"/>
        <v/>
      </c>
      <c r="K146" s="473"/>
      <c r="L146" s="456">
        <v>0</v>
      </c>
      <c r="M146" s="467">
        <f t="shared" si="11"/>
        <v>0</v>
      </c>
      <c r="N146" s="456">
        <v>0</v>
      </c>
      <c r="O146" s="467">
        <f t="shared" si="14"/>
        <v>0</v>
      </c>
      <c r="P146" s="456">
        <v>0.749</v>
      </c>
      <c r="Q146" s="458">
        <f t="shared" si="15"/>
        <v>1</v>
      </c>
      <c r="R146" s="432" t="s">
        <v>1488</v>
      </c>
      <c r="S146" s="436">
        <v>2019</v>
      </c>
    </row>
    <row r="147" spans="1:19" ht="56.25">
      <c r="A147" s="457" t="s">
        <v>2200</v>
      </c>
      <c r="B147" s="471" t="s">
        <v>2201</v>
      </c>
      <c r="C147" s="472" t="s">
        <v>226</v>
      </c>
      <c r="D147" s="428" t="s">
        <v>3276</v>
      </c>
      <c r="E147" s="475">
        <v>0.35</v>
      </c>
      <c r="F147" s="456">
        <v>0.35</v>
      </c>
      <c r="G147" s="427" t="s">
        <v>3313</v>
      </c>
      <c r="H147" s="427" t="s">
        <v>3435</v>
      </c>
      <c r="I147" s="456"/>
      <c r="J147" s="458" t="str">
        <f t="shared" si="10"/>
        <v/>
      </c>
      <c r="K147" s="473"/>
      <c r="L147" s="456">
        <v>0</v>
      </c>
      <c r="M147" s="467">
        <f t="shared" si="11"/>
        <v>0</v>
      </c>
      <c r="N147" s="456">
        <v>0.35</v>
      </c>
      <c r="O147" s="467">
        <f t="shared" si="14"/>
        <v>1</v>
      </c>
      <c r="P147" s="456">
        <v>0.35</v>
      </c>
      <c r="Q147" s="458">
        <f t="shared" si="15"/>
        <v>1</v>
      </c>
      <c r="R147" s="432" t="s">
        <v>1488</v>
      </c>
      <c r="S147" s="436">
        <v>2019</v>
      </c>
    </row>
    <row r="148" spans="1:19" ht="56.25">
      <c r="A148" s="457" t="s">
        <v>2202</v>
      </c>
      <c r="B148" s="471" t="s">
        <v>2203</v>
      </c>
      <c r="C148" s="472" t="s">
        <v>227</v>
      </c>
      <c r="D148" s="428" t="s">
        <v>3276</v>
      </c>
      <c r="E148" s="475">
        <v>1.48</v>
      </c>
      <c r="F148" s="456">
        <v>1.48</v>
      </c>
      <c r="G148" s="427" t="s">
        <v>3328</v>
      </c>
      <c r="H148" s="427" t="s">
        <v>3379</v>
      </c>
      <c r="I148" s="456"/>
      <c r="J148" s="458" t="str">
        <f t="shared" si="10"/>
        <v/>
      </c>
      <c r="K148" s="473"/>
      <c r="L148" s="456">
        <v>0</v>
      </c>
      <c r="M148" s="467">
        <f t="shared" si="11"/>
        <v>0</v>
      </c>
      <c r="N148" s="456">
        <v>0</v>
      </c>
      <c r="O148" s="467">
        <f t="shared" si="14"/>
        <v>0</v>
      </c>
      <c r="P148" s="456">
        <v>1.48</v>
      </c>
      <c r="Q148" s="458">
        <f t="shared" si="15"/>
        <v>1</v>
      </c>
      <c r="R148" s="432" t="s">
        <v>1488</v>
      </c>
      <c r="S148" s="436">
        <v>2019</v>
      </c>
    </row>
    <row r="149" spans="1:19" ht="56.25">
      <c r="A149" s="457" t="s">
        <v>2204</v>
      </c>
      <c r="B149" s="471" t="s">
        <v>2205</v>
      </c>
      <c r="C149" s="472" t="s">
        <v>228</v>
      </c>
      <c r="D149" s="428" t="s">
        <v>3276</v>
      </c>
      <c r="E149" s="475">
        <v>0.3</v>
      </c>
      <c r="F149" s="456">
        <v>0.3</v>
      </c>
      <c r="G149" s="427" t="s">
        <v>3429</v>
      </c>
      <c r="H149" s="427" t="s">
        <v>3436</v>
      </c>
      <c r="I149" s="456"/>
      <c r="J149" s="458" t="str">
        <f t="shared" si="10"/>
        <v/>
      </c>
      <c r="K149" s="473"/>
      <c r="L149" s="456">
        <v>0</v>
      </c>
      <c r="M149" s="467">
        <f t="shared" si="11"/>
        <v>0</v>
      </c>
      <c r="N149" s="456">
        <v>0</v>
      </c>
      <c r="O149" s="467">
        <f t="shared" si="14"/>
        <v>0</v>
      </c>
      <c r="P149" s="456">
        <v>0.3</v>
      </c>
      <c r="Q149" s="458">
        <f t="shared" si="15"/>
        <v>1</v>
      </c>
      <c r="R149" s="432" t="s">
        <v>1488</v>
      </c>
      <c r="S149" s="436">
        <v>2019</v>
      </c>
    </row>
    <row r="150" spans="1:19" ht="56.25">
      <c r="A150" s="457" t="s">
        <v>2206</v>
      </c>
      <c r="B150" s="471" t="s">
        <v>2207</v>
      </c>
      <c r="C150" s="472" t="s">
        <v>229</v>
      </c>
      <c r="D150" s="428" t="s">
        <v>3276</v>
      </c>
      <c r="E150" s="475">
        <v>1.1000000000000001</v>
      </c>
      <c r="F150" s="456">
        <v>1.1000000000000001</v>
      </c>
      <c r="G150" s="427" t="s">
        <v>3354</v>
      </c>
      <c r="H150" s="427" t="s">
        <v>3437</v>
      </c>
      <c r="I150" s="456"/>
      <c r="J150" s="458" t="str">
        <f t="shared" si="10"/>
        <v/>
      </c>
      <c r="K150" s="473"/>
      <c r="L150" s="456">
        <v>0</v>
      </c>
      <c r="M150" s="467">
        <f t="shared" si="11"/>
        <v>0</v>
      </c>
      <c r="N150" s="456">
        <v>0</v>
      </c>
      <c r="O150" s="467">
        <f t="shared" si="14"/>
        <v>0</v>
      </c>
      <c r="P150" s="456">
        <v>1.1000000000000001</v>
      </c>
      <c r="Q150" s="458">
        <f t="shared" si="15"/>
        <v>1</v>
      </c>
      <c r="R150" s="432" t="s">
        <v>1488</v>
      </c>
      <c r="S150" s="436">
        <v>2019</v>
      </c>
    </row>
    <row r="151" spans="1:19" ht="56.25">
      <c r="A151" s="457" t="s">
        <v>2208</v>
      </c>
      <c r="B151" s="471" t="s">
        <v>2192</v>
      </c>
      <c r="C151" s="472" t="s">
        <v>230</v>
      </c>
      <c r="D151" s="428" t="s">
        <v>3276</v>
      </c>
      <c r="E151" s="475">
        <v>1</v>
      </c>
      <c r="F151" s="456">
        <v>1</v>
      </c>
      <c r="G151" s="427" t="s">
        <v>3438</v>
      </c>
      <c r="H151" s="427" t="s">
        <v>3439</v>
      </c>
      <c r="I151" s="456">
        <v>1</v>
      </c>
      <c r="J151" s="458">
        <f t="shared" si="10"/>
        <v>1</v>
      </c>
      <c r="K151" s="473">
        <v>43361</v>
      </c>
      <c r="L151" s="456"/>
      <c r="M151" s="467" t="str">
        <f t="shared" si="11"/>
        <v/>
      </c>
      <c r="N151" s="456">
        <v>1</v>
      </c>
      <c r="O151" s="467">
        <f t="shared" si="14"/>
        <v>1</v>
      </c>
      <c r="P151" s="456">
        <v>1</v>
      </c>
      <c r="Q151" s="458">
        <f t="shared" si="15"/>
        <v>1</v>
      </c>
      <c r="R151" s="432" t="s">
        <v>1488</v>
      </c>
      <c r="S151" s="436">
        <v>2019</v>
      </c>
    </row>
    <row r="152" spans="1:19" ht="56.25">
      <c r="A152" s="457" t="s">
        <v>2209</v>
      </c>
      <c r="B152" s="471" t="s">
        <v>2192</v>
      </c>
      <c r="C152" s="472" t="s">
        <v>231</v>
      </c>
      <c r="D152" s="428" t="s">
        <v>3276</v>
      </c>
      <c r="E152" s="475">
        <v>0.82</v>
      </c>
      <c r="F152" s="456">
        <v>0.82</v>
      </c>
      <c r="G152" s="427" t="s">
        <v>3440</v>
      </c>
      <c r="H152" s="427" t="s">
        <v>3438</v>
      </c>
      <c r="I152" s="456"/>
      <c r="J152" s="458" t="str">
        <f t="shared" si="10"/>
        <v/>
      </c>
      <c r="K152" s="473"/>
      <c r="L152" s="456">
        <v>0</v>
      </c>
      <c r="M152" s="467">
        <f t="shared" si="11"/>
        <v>0</v>
      </c>
      <c r="N152" s="456">
        <v>0</v>
      </c>
      <c r="O152" s="467">
        <f t="shared" si="14"/>
        <v>0</v>
      </c>
      <c r="P152" s="456">
        <v>0.82</v>
      </c>
      <c r="Q152" s="458">
        <f t="shared" si="15"/>
        <v>1</v>
      </c>
      <c r="R152" s="432" t="s">
        <v>1488</v>
      </c>
      <c r="S152" s="436">
        <v>2019</v>
      </c>
    </row>
    <row r="153" spans="1:19" ht="56.25">
      <c r="A153" s="457" t="s">
        <v>2210</v>
      </c>
      <c r="B153" s="471" t="s">
        <v>2211</v>
      </c>
      <c r="C153" s="472" t="s">
        <v>232</v>
      </c>
      <c r="D153" s="428" t="s">
        <v>3276</v>
      </c>
      <c r="E153" s="475">
        <v>0.76</v>
      </c>
      <c r="F153" s="456">
        <v>0.76</v>
      </c>
      <c r="G153" s="427" t="s">
        <v>3328</v>
      </c>
      <c r="H153" s="427" t="s">
        <v>3321</v>
      </c>
      <c r="I153" s="456">
        <v>0.76</v>
      </c>
      <c r="J153" s="458">
        <f t="shared" si="10"/>
        <v>1</v>
      </c>
      <c r="K153" s="473">
        <v>43361</v>
      </c>
      <c r="L153" s="456"/>
      <c r="M153" s="467" t="str">
        <f t="shared" si="11"/>
        <v/>
      </c>
      <c r="N153" s="456">
        <v>0.76</v>
      </c>
      <c r="O153" s="467">
        <f t="shared" si="14"/>
        <v>1</v>
      </c>
      <c r="P153" s="456">
        <v>0.76</v>
      </c>
      <c r="Q153" s="458">
        <f t="shared" si="15"/>
        <v>1</v>
      </c>
      <c r="R153" s="432" t="s">
        <v>1488</v>
      </c>
      <c r="S153" s="436">
        <v>2019</v>
      </c>
    </row>
    <row r="154" spans="1:19" ht="93.75">
      <c r="A154" s="457" t="s">
        <v>2212</v>
      </c>
      <c r="B154" s="471" t="s">
        <v>2084</v>
      </c>
      <c r="C154" s="472" t="s">
        <v>233</v>
      </c>
      <c r="D154" s="428" t="s">
        <v>3276</v>
      </c>
      <c r="E154" s="475">
        <v>1.66</v>
      </c>
      <c r="F154" s="456">
        <v>1.66</v>
      </c>
      <c r="G154" s="427" t="s">
        <v>3398</v>
      </c>
      <c r="H154" s="427" t="s">
        <v>3329</v>
      </c>
      <c r="I154" s="456"/>
      <c r="J154" s="458" t="str">
        <f t="shared" si="10"/>
        <v/>
      </c>
      <c r="K154" s="473"/>
      <c r="L154" s="456">
        <v>0</v>
      </c>
      <c r="M154" s="467">
        <f t="shared" si="11"/>
        <v>0</v>
      </c>
      <c r="N154" s="456">
        <v>1.37</v>
      </c>
      <c r="O154" s="467">
        <f t="shared" si="14"/>
        <v>0.82530120481927727</v>
      </c>
      <c r="P154" s="456">
        <v>1.66</v>
      </c>
      <c r="Q154" s="458">
        <f t="shared" si="15"/>
        <v>1</v>
      </c>
      <c r="R154" s="432" t="s">
        <v>1488</v>
      </c>
      <c r="S154" s="436">
        <v>2019</v>
      </c>
    </row>
    <row r="155" spans="1:19" ht="56.25">
      <c r="A155" s="457" t="s">
        <v>2213</v>
      </c>
      <c r="B155" s="471" t="s">
        <v>2093</v>
      </c>
      <c r="C155" s="472" t="s">
        <v>234</v>
      </c>
      <c r="D155" s="428" t="s">
        <v>3276</v>
      </c>
      <c r="E155" s="475">
        <v>1.4</v>
      </c>
      <c r="F155" s="456">
        <v>1.4</v>
      </c>
      <c r="G155" s="427" t="s">
        <v>3328</v>
      </c>
      <c r="H155" s="427" t="s">
        <v>3441</v>
      </c>
      <c r="I155" s="456">
        <v>1.37</v>
      </c>
      <c r="J155" s="458">
        <f t="shared" si="10"/>
        <v>0.97857142857142876</v>
      </c>
      <c r="K155" s="473">
        <v>43361</v>
      </c>
      <c r="L155" s="456"/>
      <c r="M155" s="467" t="str">
        <f t="shared" si="11"/>
        <v/>
      </c>
      <c r="N155" s="456">
        <v>1.37</v>
      </c>
      <c r="O155" s="467">
        <f t="shared" si="14"/>
        <v>0.97857142857142876</v>
      </c>
      <c r="P155" s="456">
        <v>1.4</v>
      </c>
      <c r="Q155" s="458">
        <f t="shared" si="15"/>
        <v>1</v>
      </c>
      <c r="R155" s="432" t="s">
        <v>1488</v>
      </c>
      <c r="S155" s="436">
        <v>2019</v>
      </c>
    </row>
    <row r="156" spans="1:19" ht="56.25">
      <c r="A156" s="457" t="s">
        <v>2214</v>
      </c>
      <c r="B156" s="471" t="s">
        <v>2215</v>
      </c>
      <c r="C156" s="472" t="s">
        <v>235</v>
      </c>
      <c r="D156" s="428" t="s">
        <v>3276</v>
      </c>
      <c r="E156" s="475">
        <v>1.07</v>
      </c>
      <c r="F156" s="456">
        <v>1.07</v>
      </c>
      <c r="G156" s="427" t="s">
        <v>3321</v>
      </c>
      <c r="H156" s="427" t="s">
        <v>3442</v>
      </c>
      <c r="I156" s="456">
        <v>1.07</v>
      </c>
      <c r="J156" s="458">
        <f t="shared" si="10"/>
        <v>1</v>
      </c>
      <c r="K156" s="473">
        <v>43361</v>
      </c>
      <c r="L156" s="456"/>
      <c r="M156" s="467" t="str">
        <f t="shared" si="11"/>
        <v/>
      </c>
      <c r="N156" s="456">
        <v>1.07</v>
      </c>
      <c r="O156" s="467">
        <f t="shared" si="14"/>
        <v>1</v>
      </c>
      <c r="P156" s="456">
        <v>1.07</v>
      </c>
      <c r="Q156" s="458">
        <f t="shared" si="15"/>
        <v>1</v>
      </c>
      <c r="R156" s="432" t="s">
        <v>1488</v>
      </c>
      <c r="S156" s="436">
        <v>2019</v>
      </c>
    </row>
    <row r="157" spans="1:19" ht="56.25">
      <c r="A157" s="457" t="s">
        <v>2216</v>
      </c>
      <c r="B157" s="471" t="s">
        <v>2217</v>
      </c>
      <c r="C157" s="472" t="s">
        <v>236</v>
      </c>
      <c r="D157" s="428" t="s">
        <v>3276</v>
      </c>
      <c r="E157" s="475">
        <v>0.67</v>
      </c>
      <c r="F157" s="456">
        <v>0.67</v>
      </c>
      <c r="G157" s="427" t="s">
        <v>3313</v>
      </c>
      <c r="H157" s="427" t="s">
        <v>3443</v>
      </c>
      <c r="I157" s="456">
        <v>0.67</v>
      </c>
      <c r="J157" s="458">
        <f t="shared" si="10"/>
        <v>1</v>
      </c>
      <c r="K157" s="473">
        <v>43361</v>
      </c>
      <c r="L157" s="456"/>
      <c r="M157" s="467" t="str">
        <f t="shared" si="11"/>
        <v/>
      </c>
      <c r="N157" s="456">
        <v>0.67</v>
      </c>
      <c r="O157" s="467">
        <f t="shared" si="14"/>
        <v>1</v>
      </c>
      <c r="P157" s="456">
        <v>0.67</v>
      </c>
      <c r="Q157" s="458">
        <f t="shared" si="15"/>
        <v>1</v>
      </c>
      <c r="R157" s="432" t="s">
        <v>1488</v>
      </c>
      <c r="S157" s="436">
        <v>2019</v>
      </c>
    </row>
    <row r="158" spans="1:19" ht="56.25">
      <c r="A158" s="457" t="s">
        <v>2218</v>
      </c>
      <c r="B158" s="471" t="s">
        <v>2219</v>
      </c>
      <c r="C158" s="472" t="s">
        <v>237</v>
      </c>
      <c r="D158" s="428" t="s">
        <v>3276</v>
      </c>
      <c r="E158" s="475">
        <v>1.43</v>
      </c>
      <c r="F158" s="456">
        <v>1.43</v>
      </c>
      <c r="G158" s="427" t="s">
        <v>3444</v>
      </c>
      <c r="H158" s="427" t="s">
        <v>3322</v>
      </c>
      <c r="I158" s="456">
        <v>1.43</v>
      </c>
      <c r="J158" s="458">
        <f t="shared" si="10"/>
        <v>1</v>
      </c>
      <c r="K158" s="473">
        <v>43361</v>
      </c>
      <c r="L158" s="456"/>
      <c r="M158" s="467" t="str">
        <f t="shared" si="11"/>
        <v/>
      </c>
      <c r="N158" s="456">
        <v>1.43</v>
      </c>
      <c r="O158" s="467">
        <f t="shared" si="14"/>
        <v>1</v>
      </c>
      <c r="P158" s="456">
        <v>1.43</v>
      </c>
      <c r="Q158" s="458">
        <f t="shared" si="15"/>
        <v>1</v>
      </c>
      <c r="R158" s="432" t="s">
        <v>1488</v>
      </c>
      <c r="S158" s="436">
        <v>2019</v>
      </c>
    </row>
    <row r="159" spans="1:19" ht="75">
      <c r="A159" s="457" t="s">
        <v>2220</v>
      </c>
      <c r="B159" s="471" t="s">
        <v>2221</v>
      </c>
      <c r="C159" s="472" t="s">
        <v>238</v>
      </c>
      <c r="D159" s="428" t="s">
        <v>3276</v>
      </c>
      <c r="E159" s="475">
        <v>0.99</v>
      </c>
      <c r="F159" s="456">
        <v>0.99</v>
      </c>
      <c r="G159" s="427" t="s">
        <v>3445</v>
      </c>
      <c r="H159" s="427" t="s">
        <v>3446</v>
      </c>
      <c r="I159" s="456"/>
      <c r="J159" s="458" t="str">
        <f t="shared" si="10"/>
        <v/>
      </c>
      <c r="K159" s="473">
        <v>43361</v>
      </c>
      <c r="L159" s="456">
        <v>0</v>
      </c>
      <c r="M159" s="467">
        <f t="shared" si="11"/>
        <v>0</v>
      </c>
      <c r="N159" s="456">
        <v>0</v>
      </c>
      <c r="O159" s="467">
        <f t="shared" si="14"/>
        <v>0</v>
      </c>
      <c r="P159" s="456">
        <v>0</v>
      </c>
      <c r="Q159" s="458">
        <f t="shared" si="15"/>
        <v>0</v>
      </c>
      <c r="R159" s="432" t="s">
        <v>1488</v>
      </c>
      <c r="S159" s="436">
        <v>2019</v>
      </c>
    </row>
    <row r="160" spans="1:19" ht="56.25">
      <c r="A160" s="457" t="s">
        <v>2222</v>
      </c>
      <c r="B160" s="471" t="s">
        <v>2223</v>
      </c>
      <c r="C160" s="472" t="s">
        <v>239</v>
      </c>
      <c r="D160" s="428" t="s">
        <v>3276</v>
      </c>
      <c r="E160" s="475">
        <v>1.23</v>
      </c>
      <c r="F160" s="456">
        <v>1.23</v>
      </c>
      <c r="G160" s="427" t="s">
        <v>3313</v>
      </c>
      <c r="H160" s="427" t="s">
        <v>3384</v>
      </c>
      <c r="I160" s="456">
        <v>1.23</v>
      </c>
      <c r="J160" s="458">
        <f t="shared" si="10"/>
        <v>1</v>
      </c>
      <c r="K160" s="473">
        <v>43361</v>
      </c>
      <c r="L160" s="456"/>
      <c r="M160" s="467" t="str">
        <f t="shared" si="11"/>
        <v/>
      </c>
      <c r="N160" s="456">
        <v>1.23</v>
      </c>
      <c r="O160" s="467">
        <f t="shared" si="14"/>
        <v>1</v>
      </c>
      <c r="P160" s="456">
        <v>1.23</v>
      </c>
      <c r="Q160" s="458">
        <f t="shared" si="15"/>
        <v>1</v>
      </c>
      <c r="R160" s="432" t="s">
        <v>1488</v>
      </c>
      <c r="S160" s="436">
        <v>2019</v>
      </c>
    </row>
    <row r="161" spans="1:19" ht="56.25">
      <c r="A161" s="457" t="s">
        <v>2224</v>
      </c>
      <c r="B161" s="471" t="s">
        <v>2225</v>
      </c>
      <c r="C161" s="472" t="s">
        <v>240</v>
      </c>
      <c r="D161" s="428" t="s">
        <v>3276</v>
      </c>
      <c r="E161" s="475">
        <v>1.5</v>
      </c>
      <c r="F161" s="456">
        <v>1.5</v>
      </c>
      <c r="G161" s="427" t="s">
        <v>3447</v>
      </c>
      <c r="H161" s="427" t="s">
        <v>3448</v>
      </c>
      <c r="I161" s="456">
        <v>0</v>
      </c>
      <c r="J161" s="458">
        <f t="shared" si="10"/>
        <v>0</v>
      </c>
      <c r="K161" s="473">
        <v>43361</v>
      </c>
      <c r="L161" s="456">
        <v>0</v>
      </c>
      <c r="M161" s="467" t="str">
        <f t="shared" si="11"/>
        <v/>
      </c>
      <c r="N161" s="456">
        <v>1.5</v>
      </c>
      <c r="O161" s="467">
        <f t="shared" si="14"/>
        <v>1</v>
      </c>
      <c r="P161" s="456">
        <v>1.5</v>
      </c>
      <c r="Q161" s="458">
        <f t="shared" si="15"/>
        <v>1</v>
      </c>
      <c r="R161" s="432" t="s">
        <v>1488</v>
      </c>
      <c r="S161" s="436">
        <v>2019</v>
      </c>
    </row>
    <row r="162" spans="1:19" ht="56.25">
      <c r="A162" s="457" t="s">
        <v>2226</v>
      </c>
      <c r="B162" s="471" t="s">
        <v>3271</v>
      </c>
      <c r="C162" s="472" t="s">
        <v>241</v>
      </c>
      <c r="D162" s="428" t="s">
        <v>3276</v>
      </c>
      <c r="E162" s="475">
        <v>1.1200000000000001</v>
      </c>
      <c r="F162" s="456">
        <v>1.1200000000000001</v>
      </c>
      <c r="G162" s="427" t="s">
        <v>3313</v>
      </c>
      <c r="H162" s="427" t="s">
        <v>3449</v>
      </c>
      <c r="I162" s="456">
        <v>1.1200000000000001</v>
      </c>
      <c r="J162" s="458">
        <f t="shared" si="10"/>
        <v>1</v>
      </c>
      <c r="K162" s="473">
        <v>43361</v>
      </c>
      <c r="L162" s="456"/>
      <c r="M162" s="467" t="str">
        <f t="shared" si="11"/>
        <v/>
      </c>
      <c r="N162" s="456">
        <v>1.1200000000000001</v>
      </c>
      <c r="O162" s="467">
        <f t="shared" si="14"/>
        <v>1</v>
      </c>
      <c r="P162" s="456">
        <v>1.1200000000000001</v>
      </c>
      <c r="Q162" s="458">
        <f t="shared" si="15"/>
        <v>1</v>
      </c>
      <c r="R162" s="432" t="s">
        <v>1488</v>
      </c>
      <c r="S162" s="436">
        <v>2019</v>
      </c>
    </row>
    <row r="163" spans="1:19" ht="56.25">
      <c r="A163" s="457" t="s">
        <v>2227</v>
      </c>
      <c r="B163" s="471" t="s">
        <v>2228</v>
      </c>
      <c r="C163" s="472" t="s">
        <v>242</v>
      </c>
      <c r="D163" s="428" t="s">
        <v>3276</v>
      </c>
      <c r="E163" s="475">
        <v>1.85</v>
      </c>
      <c r="F163" s="456">
        <v>1.85</v>
      </c>
      <c r="G163" s="427" t="s">
        <v>3313</v>
      </c>
      <c r="H163" s="427" t="s">
        <v>3316</v>
      </c>
      <c r="I163" s="456">
        <v>1.82</v>
      </c>
      <c r="J163" s="458">
        <f t="shared" si="10"/>
        <v>0.98378378378378373</v>
      </c>
      <c r="K163" s="473">
        <v>43361</v>
      </c>
      <c r="L163" s="456"/>
      <c r="M163" s="467" t="str">
        <f t="shared" si="11"/>
        <v/>
      </c>
      <c r="N163" s="456">
        <v>1.82</v>
      </c>
      <c r="O163" s="467">
        <f t="shared" si="14"/>
        <v>0.98378378378378373</v>
      </c>
      <c r="P163" s="456">
        <v>1.82</v>
      </c>
      <c r="Q163" s="458">
        <f t="shared" si="15"/>
        <v>0.98378378378378373</v>
      </c>
      <c r="R163" s="432" t="s">
        <v>1488</v>
      </c>
      <c r="S163" s="436">
        <v>2019</v>
      </c>
    </row>
    <row r="164" spans="1:19" ht="56.25">
      <c r="A164" s="457" t="s">
        <v>2229</v>
      </c>
      <c r="B164" s="471" t="s">
        <v>2230</v>
      </c>
      <c r="C164" s="472" t="s">
        <v>243</v>
      </c>
      <c r="D164" s="428" t="s">
        <v>3276</v>
      </c>
      <c r="E164" s="475">
        <v>0.77</v>
      </c>
      <c r="F164" s="456">
        <v>0.77</v>
      </c>
      <c r="G164" s="427" t="s">
        <v>3328</v>
      </c>
      <c r="H164" s="427" t="s">
        <v>3337</v>
      </c>
      <c r="I164" s="456">
        <v>0.77</v>
      </c>
      <c r="J164" s="458">
        <f t="shared" si="10"/>
        <v>1</v>
      </c>
      <c r="K164" s="473">
        <v>43361</v>
      </c>
      <c r="L164" s="456"/>
      <c r="M164" s="467" t="str">
        <f t="shared" si="11"/>
        <v/>
      </c>
      <c r="N164" s="456">
        <v>0.77</v>
      </c>
      <c r="O164" s="467">
        <f t="shared" si="14"/>
        <v>1</v>
      </c>
      <c r="P164" s="456">
        <v>0.77</v>
      </c>
      <c r="Q164" s="458">
        <f t="shared" si="15"/>
        <v>1</v>
      </c>
      <c r="R164" s="432" t="s">
        <v>1488</v>
      </c>
      <c r="S164" s="436">
        <v>2019</v>
      </c>
    </row>
    <row r="165" spans="1:19" ht="56.25">
      <c r="A165" s="457" t="s">
        <v>2231</v>
      </c>
      <c r="B165" s="471" t="s">
        <v>2232</v>
      </c>
      <c r="C165" s="472" t="s">
        <v>244</v>
      </c>
      <c r="D165" s="428" t="s">
        <v>3276</v>
      </c>
      <c r="E165" s="475">
        <v>1.1399999999999999</v>
      </c>
      <c r="F165" s="456">
        <v>1.1399999999999999</v>
      </c>
      <c r="G165" s="427" t="s">
        <v>3423</v>
      </c>
      <c r="H165" s="427" t="s">
        <v>3321</v>
      </c>
      <c r="I165" s="456"/>
      <c r="J165" s="458" t="str">
        <f t="shared" si="10"/>
        <v/>
      </c>
      <c r="K165" s="473"/>
      <c r="L165" s="456">
        <v>0</v>
      </c>
      <c r="M165" s="467">
        <f t="shared" si="11"/>
        <v>0</v>
      </c>
      <c r="N165" s="456">
        <v>0</v>
      </c>
      <c r="O165" s="467">
        <f t="shared" si="14"/>
        <v>0</v>
      </c>
      <c r="P165" s="456">
        <v>1.1399999999999999</v>
      </c>
      <c r="Q165" s="458">
        <f t="shared" si="15"/>
        <v>1</v>
      </c>
      <c r="R165" s="432" t="s">
        <v>1488</v>
      </c>
      <c r="S165" s="436">
        <v>2019</v>
      </c>
    </row>
    <row r="166" spans="1:19" ht="75">
      <c r="A166" s="457" t="s">
        <v>2233</v>
      </c>
      <c r="B166" s="471" t="s">
        <v>2105</v>
      </c>
      <c r="C166" s="472" t="s">
        <v>245</v>
      </c>
      <c r="D166" s="428" t="s">
        <v>3276</v>
      </c>
      <c r="E166" s="475">
        <v>1.96</v>
      </c>
      <c r="F166" s="456">
        <v>1.96</v>
      </c>
      <c r="G166" s="427" t="s">
        <v>3450</v>
      </c>
      <c r="H166" s="427" t="s">
        <v>3451</v>
      </c>
      <c r="I166" s="456"/>
      <c r="J166" s="458" t="str">
        <f t="shared" si="10"/>
        <v/>
      </c>
      <c r="K166" s="473"/>
      <c r="L166" s="456">
        <v>0</v>
      </c>
      <c r="M166" s="467">
        <f t="shared" si="11"/>
        <v>0</v>
      </c>
      <c r="N166" s="456">
        <v>1.0900000000000001</v>
      </c>
      <c r="O166" s="467">
        <f t="shared" si="14"/>
        <v>0.55612244897959184</v>
      </c>
      <c r="P166" s="456">
        <v>1.1000000000000001</v>
      </c>
      <c r="Q166" s="458">
        <f t="shared" si="15"/>
        <v>0.56122448979591844</v>
      </c>
      <c r="R166" s="432" t="s">
        <v>1488</v>
      </c>
      <c r="S166" s="436">
        <v>2019</v>
      </c>
    </row>
    <row r="167" spans="1:19" ht="56.25">
      <c r="A167" s="457" t="s">
        <v>2234</v>
      </c>
      <c r="B167" s="471" t="s">
        <v>2235</v>
      </c>
      <c r="C167" s="472" t="s">
        <v>246</v>
      </c>
      <c r="D167" s="428" t="s">
        <v>3276</v>
      </c>
      <c r="E167" s="475">
        <v>2.0699999999999998</v>
      </c>
      <c r="F167" s="456">
        <v>2.0699999999999998</v>
      </c>
      <c r="G167" s="427" t="s">
        <v>3452</v>
      </c>
      <c r="H167" s="427" t="s">
        <v>3453</v>
      </c>
      <c r="I167" s="456"/>
      <c r="J167" s="458" t="str">
        <f t="shared" si="10"/>
        <v/>
      </c>
      <c r="K167" s="473"/>
      <c r="L167" s="456">
        <v>0</v>
      </c>
      <c r="M167" s="467">
        <f t="shared" si="11"/>
        <v>0</v>
      </c>
      <c r="N167" s="456">
        <v>1.48</v>
      </c>
      <c r="O167" s="467">
        <f t="shared" si="14"/>
        <v>0.71497584541062809</v>
      </c>
      <c r="P167" s="456">
        <v>1.5</v>
      </c>
      <c r="Q167" s="458">
        <f t="shared" si="15"/>
        <v>0.7246376811594204</v>
      </c>
      <c r="R167" s="432" t="s">
        <v>1488</v>
      </c>
      <c r="S167" s="436">
        <v>2019</v>
      </c>
    </row>
    <row r="168" spans="1:19" ht="56.25">
      <c r="A168" s="457" t="s">
        <v>2236</v>
      </c>
      <c r="B168" s="471" t="s">
        <v>2237</v>
      </c>
      <c r="C168" s="472" t="s">
        <v>247</v>
      </c>
      <c r="D168" s="428" t="s">
        <v>3276</v>
      </c>
      <c r="E168" s="475">
        <v>1.1499999999999999</v>
      </c>
      <c r="F168" s="456">
        <v>1.1499999999999999</v>
      </c>
      <c r="G168" s="427" t="s">
        <v>3454</v>
      </c>
      <c r="H168" s="427" t="s">
        <v>3455</v>
      </c>
      <c r="I168" s="456"/>
      <c r="J168" s="458" t="str">
        <f t="shared" si="10"/>
        <v/>
      </c>
      <c r="K168" s="473"/>
      <c r="L168" s="456">
        <v>0</v>
      </c>
      <c r="M168" s="467">
        <f t="shared" si="11"/>
        <v>0</v>
      </c>
      <c r="N168" s="456">
        <v>0</v>
      </c>
      <c r="O168" s="467">
        <f t="shared" si="14"/>
        <v>0</v>
      </c>
      <c r="P168" s="456">
        <v>0</v>
      </c>
      <c r="Q168" s="458">
        <f t="shared" si="15"/>
        <v>0</v>
      </c>
      <c r="R168" s="432" t="s">
        <v>1488</v>
      </c>
      <c r="S168" s="436">
        <v>2019</v>
      </c>
    </row>
    <row r="169" spans="1:19" ht="56.25">
      <c r="A169" s="457" t="s">
        <v>2238</v>
      </c>
      <c r="B169" s="471" t="s">
        <v>2239</v>
      </c>
      <c r="C169" s="472" t="s">
        <v>248</v>
      </c>
      <c r="D169" s="428" t="s">
        <v>3276</v>
      </c>
      <c r="E169" s="475">
        <v>1.31</v>
      </c>
      <c r="F169" s="456">
        <v>1.31</v>
      </c>
      <c r="G169" s="427" t="s">
        <v>3456</v>
      </c>
      <c r="H169" s="427" t="s">
        <v>3329</v>
      </c>
      <c r="I169" s="456"/>
      <c r="J169" s="458" t="str">
        <f t="shared" si="10"/>
        <v/>
      </c>
      <c r="K169" s="473"/>
      <c r="L169" s="456">
        <v>0</v>
      </c>
      <c r="M169" s="467">
        <f t="shared" si="11"/>
        <v>0</v>
      </c>
      <c r="N169" s="456">
        <v>0</v>
      </c>
      <c r="O169" s="467">
        <f t="shared" si="14"/>
        <v>0</v>
      </c>
      <c r="P169" s="456">
        <v>1.31</v>
      </c>
      <c r="Q169" s="458">
        <f t="shared" si="15"/>
        <v>1</v>
      </c>
      <c r="R169" s="432" t="s">
        <v>1488</v>
      </c>
      <c r="S169" s="436">
        <v>2019</v>
      </c>
    </row>
    <row r="170" spans="1:19" ht="56.25">
      <c r="A170" s="457" t="s">
        <v>2240</v>
      </c>
      <c r="B170" s="471" t="s">
        <v>2084</v>
      </c>
      <c r="C170" s="472" t="s">
        <v>249</v>
      </c>
      <c r="D170" s="428" t="s">
        <v>3276</v>
      </c>
      <c r="E170" s="475">
        <v>0.95</v>
      </c>
      <c r="F170" s="456">
        <v>0.95</v>
      </c>
      <c r="G170" s="427" t="s">
        <v>3457</v>
      </c>
      <c r="H170" s="427" t="s">
        <v>3341</v>
      </c>
      <c r="I170" s="456"/>
      <c r="J170" s="458" t="str">
        <f t="shared" si="10"/>
        <v/>
      </c>
      <c r="K170" s="473"/>
      <c r="L170" s="456">
        <v>0</v>
      </c>
      <c r="M170" s="467">
        <f t="shared" si="11"/>
        <v>0</v>
      </c>
      <c r="N170" s="456">
        <v>0.95</v>
      </c>
      <c r="O170" s="467">
        <f t="shared" si="14"/>
        <v>1</v>
      </c>
      <c r="P170" s="456">
        <v>0.95</v>
      </c>
      <c r="Q170" s="458">
        <f t="shared" si="15"/>
        <v>1</v>
      </c>
      <c r="R170" s="432" t="s">
        <v>1488</v>
      </c>
      <c r="S170" s="436">
        <v>2019</v>
      </c>
    </row>
    <row r="171" spans="1:19" ht="56.25">
      <c r="A171" s="457" t="s">
        <v>2241</v>
      </c>
      <c r="B171" s="471" t="s">
        <v>2242</v>
      </c>
      <c r="C171" s="472" t="s">
        <v>250</v>
      </c>
      <c r="D171" s="428" t="s">
        <v>3276</v>
      </c>
      <c r="E171" s="475">
        <v>1.1000000000000001</v>
      </c>
      <c r="F171" s="456">
        <v>1.1000000000000001</v>
      </c>
      <c r="G171" s="427" t="s">
        <v>3313</v>
      </c>
      <c r="H171" s="427" t="s">
        <v>3348</v>
      </c>
      <c r="I171" s="456"/>
      <c r="J171" s="458" t="str">
        <f t="shared" si="10"/>
        <v/>
      </c>
      <c r="K171" s="473"/>
      <c r="L171" s="456">
        <v>0</v>
      </c>
      <c r="M171" s="467">
        <f t="shared" si="11"/>
        <v>0</v>
      </c>
      <c r="N171" s="456">
        <v>0</v>
      </c>
      <c r="O171" s="467">
        <f t="shared" si="14"/>
        <v>0</v>
      </c>
      <c r="P171" s="456">
        <v>1.1000000000000001</v>
      </c>
      <c r="Q171" s="458">
        <f t="shared" si="15"/>
        <v>1</v>
      </c>
      <c r="R171" s="432" t="s">
        <v>1488</v>
      </c>
      <c r="S171" s="436">
        <v>2019</v>
      </c>
    </row>
    <row r="172" spans="1:19" ht="56.25">
      <c r="A172" s="457" t="s">
        <v>2243</v>
      </c>
      <c r="B172" s="471" t="s">
        <v>2244</v>
      </c>
      <c r="C172" s="472" t="s">
        <v>251</v>
      </c>
      <c r="D172" s="428" t="s">
        <v>3276</v>
      </c>
      <c r="E172" s="475">
        <v>0.7</v>
      </c>
      <c r="F172" s="456">
        <v>0.7</v>
      </c>
      <c r="G172" s="427" t="s">
        <v>3360</v>
      </c>
      <c r="H172" s="427" t="s">
        <v>3458</v>
      </c>
      <c r="I172" s="456"/>
      <c r="J172" s="458" t="str">
        <f t="shared" si="10"/>
        <v/>
      </c>
      <c r="K172" s="473"/>
      <c r="L172" s="456">
        <v>0</v>
      </c>
      <c r="M172" s="467">
        <f t="shared" si="11"/>
        <v>0</v>
      </c>
      <c r="N172" s="456">
        <v>0.7</v>
      </c>
      <c r="O172" s="467">
        <f t="shared" si="14"/>
        <v>1</v>
      </c>
      <c r="P172" s="456">
        <v>0.7</v>
      </c>
      <c r="Q172" s="458">
        <f t="shared" si="15"/>
        <v>1</v>
      </c>
      <c r="R172" s="432" t="s">
        <v>1488</v>
      </c>
      <c r="S172" s="436">
        <v>2019</v>
      </c>
    </row>
    <row r="173" spans="1:19" ht="56.25">
      <c r="A173" s="457" t="s">
        <v>2245</v>
      </c>
      <c r="B173" s="471" t="s">
        <v>2246</v>
      </c>
      <c r="C173" s="472" t="s">
        <v>252</v>
      </c>
      <c r="D173" s="428" t="s">
        <v>3276</v>
      </c>
      <c r="E173" s="475">
        <v>1.42</v>
      </c>
      <c r="F173" s="456">
        <v>1.42</v>
      </c>
      <c r="G173" s="427" t="s">
        <v>3326</v>
      </c>
      <c r="H173" s="427" t="s">
        <v>3459</v>
      </c>
      <c r="I173" s="456"/>
      <c r="J173" s="458" t="str">
        <f t="shared" si="10"/>
        <v/>
      </c>
      <c r="K173" s="473"/>
      <c r="L173" s="456">
        <v>0</v>
      </c>
      <c r="M173" s="467">
        <f t="shared" si="11"/>
        <v>0</v>
      </c>
      <c r="N173" s="456">
        <v>1.42</v>
      </c>
      <c r="O173" s="467">
        <f t="shared" si="14"/>
        <v>1</v>
      </c>
      <c r="P173" s="456">
        <v>1.42</v>
      </c>
      <c r="Q173" s="458">
        <f t="shared" si="15"/>
        <v>1</v>
      </c>
      <c r="R173" s="432" t="s">
        <v>1488</v>
      </c>
      <c r="S173" s="436">
        <v>2019</v>
      </c>
    </row>
    <row r="174" spans="1:19" ht="56.25">
      <c r="A174" s="457" t="s">
        <v>2247</v>
      </c>
      <c r="B174" s="471" t="s">
        <v>2248</v>
      </c>
      <c r="C174" s="472" t="s">
        <v>253</v>
      </c>
      <c r="D174" s="428" t="s">
        <v>3276</v>
      </c>
      <c r="E174" s="475">
        <v>1.28</v>
      </c>
      <c r="F174" s="456">
        <v>1.28</v>
      </c>
      <c r="G174" s="427" t="s">
        <v>3460</v>
      </c>
      <c r="H174" s="427" t="s">
        <v>3461</v>
      </c>
      <c r="I174" s="456">
        <v>1.28</v>
      </c>
      <c r="J174" s="458">
        <f t="shared" ref="J174:J237" si="16">IF(I174="","",I174/F174)</f>
        <v>1</v>
      </c>
      <c r="K174" s="473">
        <v>43361</v>
      </c>
      <c r="L174" s="456"/>
      <c r="M174" s="467" t="str">
        <f t="shared" ref="M174:M237" si="17">IF(I174="",L174/F174,"")</f>
        <v/>
      </c>
      <c r="N174" s="456">
        <v>1.28</v>
      </c>
      <c r="O174" s="467">
        <f t="shared" si="14"/>
        <v>1</v>
      </c>
      <c r="P174" s="456">
        <v>1.28</v>
      </c>
      <c r="Q174" s="458">
        <f t="shared" si="15"/>
        <v>1</v>
      </c>
      <c r="R174" s="432" t="s">
        <v>1488</v>
      </c>
      <c r="S174" s="436">
        <v>2019</v>
      </c>
    </row>
    <row r="175" spans="1:19" ht="56.25">
      <c r="A175" s="457" t="s">
        <v>2249</v>
      </c>
      <c r="B175" s="471" t="s">
        <v>2250</v>
      </c>
      <c r="C175" s="472" t="s">
        <v>254</v>
      </c>
      <c r="D175" s="428" t="s">
        <v>3276</v>
      </c>
      <c r="E175" s="475">
        <v>1.27</v>
      </c>
      <c r="F175" s="456">
        <v>1.27</v>
      </c>
      <c r="G175" s="427" t="s">
        <v>3422</v>
      </c>
      <c r="H175" s="427" t="s">
        <v>3329</v>
      </c>
      <c r="I175" s="456">
        <v>1.27</v>
      </c>
      <c r="J175" s="458">
        <f t="shared" si="16"/>
        <v>1</v>
      </c>
      <c r="K175" s="473">
        <v>43361</v>
      </c>
      <c r="L175" s="456"/>
      <c r="M175" s="467" t="str">
        <f t="shared" si="17"/>
        <v/>
      </c>
      <c r="N175" s="456">
        <v>1.27</v>
      </c>
      <c r="O175" s="467">
        <f t="shared" si="14"/>
        <v>1</v>
      </c>
      <c r="P175" s="456">
        <v>1.27</v>
      </c>
      <c r="Q175" s="458">
        <f t="shared" si="15"/>
        <v>1</v>
      </c>
      <c r="R175" s="432" t="s">
        <v>1488</v>
      </c>
      <c r="S175" s="436">
        <v>2019</v>
      </c>
    </row>
    <row r="176" spans="1:19" ht="56.25">
      <c r="A176" s="457" t="s">
        <v>2251</v>
      </c>
      <c r="B176" s="471" t="s">
        <v>2252</v>
      </c>
      <c r="C176" s="472" t="s">
        <v>255</v>
      </c>
      <c r="D176" s="428" t="s">
        <v>3276</v>
      </c>
      <c r="E176" s="475">
        <v>1.35</v>
      </c>
      <c r="F176" s="456">
        <v>1.35</v>
      </c>
      <c r="G176" s="427" t="s">
        <v>3326</v>
      </c>
      <c r="H176" s="427" t="s">
        <v>3365</v>
      </c>
      <c r="I176" s="456"/>
      <c r="J176" s="458" t="str">
        <f t="shared" si="16"/>
        <v/>
      </c>
      <c r="K176" s="473"/>
      <c r="L176" s="456">
        <v>0</v>
      </c>
      <c r="M176" s="467">
        <f t="shared" si="17"/>
        <v>0</v>
      </c>
      <c r="N176" s="456">
        <v>1.35</v>
      </c>
      <c r="O176" s="467">
        <f t="shared" si="14"/>
        <v>1</v>
      </c>
      <c r="P176" s="456">
        <v>1.35</v>
      </c>
      <c r="Q176" s="458">
        <f t="shared" si="15"/>
        <v>1</v>
      </c>
      <c r="R176" s="432" t="s">
        <v>1488</v>
      </c>
      <c r="S176" s="436">
        <v>2019</v>
      </c>
    </row>
    <row r="177" spans="1:19" ht="56.25">
      <c r="A177" s="457" t="s">
        <v>2253</v>
      </c>
      <c r="B177" s="471" t="s">
        <v>2254</v>
      </c>
      <c r="C177" s="472" t="s">
        <v>256</v>
      </c>
      <c r="D177" s="428" t="s">
        <v>3276</v>
      </c>
      <c r="E177" s="475">
        <v>1.65</v>
      </c>
      <c r="F177" s="456">
        <v>1.65</v>
      </c>
      <c r="G177" s="427" t="s">
        <v>3440</v>
      </c>
      <c r="H177" s="427" t="s">
        <v>3462</v>
      </c>
      <c r="I177" s="456"/>
      <c r="J177" s="458" t="str">
        <f t="shared" si="16"/>
        <v/>
      </c>
      <c r="K177" s="473"/>
      <c r="L177" s="456">
        <v>0</v>
      </c>
      <c r="M177" s="467">
        <f t="shared" si="17"/>
        <v>0</v>
      </c>
      <c r="N177" s="456">
        <v>1.302</v>
      </c>
      <c r="O177" s="467">
        <f t="shared" si="14"/>
        <v>0.78909090909090918</v>
      </c>
      <c r="P177" s="456">
        <v>1.65</v>
      </c>
      <c r="Q177" s="458">
        <f t="shared" si="15"/>
        <v>1</v>
      </c>
      <c r="R177" s="432" t="s">
        <v>1488</v>
      </c>
      <c r="S177" s="436">
        <v>2019</v>
      </c>
    </row>
    <row r="178" spans="1:19" ht="56.25">
      <c r="A178" s="457" t="s">
        <v>2255</v>
      </c>
      <c r="B178" s="471" t="s">
        <v>2225</v>
      </c>
      <c r="C178" s="472" t="s">
        <v>257</v>
      </c>
      <c r="D178" s="428" t="s">
        <v>3276</v>
      </c>
      <c r="E178" s="475">
        <v>0.92</v>
      </c>
      <c r="F178" s="456">
        <v>0.92</v>
      </c>
      <c r="G178" s="427" t="s">
        <v>2627</v>
      </c>
      <c r="H178" s="427" t="s">
        <v>3463</v>
      </c>
      <c r="I178" s="456"/>
      <c r="J178" s="458" t="str">
        <f t="shared" si="16"/>
        <v/>
      </c>
      <c r="K178" s="473"/>
      <c r="L178" s="456">
        <v>0</v>
      </c>
      <c r="M178" s="467">
        <f t="shared" si="17"/>
        <v>0</v>
      </c>
      <c r="N178" s="456">
        <v>0.92</v>
      </c>
      <c r="O178" s="467">
        <f t="shared" si="14"/>
        <v>1</v>
      </c>
      <c r="P178" s="456">
        <v>0.92</v>
      </c>
      <c r="Q178" s="458">
        <f t="shared" si="15"/>
        <v>1</v>
      </c>
      <c r="R178" s="432" t="s">
        <v>1488</v>
      </c>
      <c r="S178" s="436">
        <v>2019</v>
      </c>
    </row>
    <row r="179" spans="1:19" ht="56.25">
      <c r="A179" s="457" t="s">
        <v>2256</v>
      </c>
      <c r="B179" s="471" t="s">
        <v>2257</v>
      </c>
      <c r="C179" s="472" t="s">
        <v>258</v>
      </c>
      <c r="D179" s="428" t="s">
        <v>3276</v>
      </c>
      <c r="E179" s="475">
        <v>0.45</v>
      </c>
      <c r="F179" s="456">
        <v>0.45</v>
      </c>
      <c r="G179" s="427" t="s">
        <v>2627</v>
      </c>
      <c r="H179" s="427" t="s">
        <v>3464</v>
      </c>
      <c r="I179" s="456"/>
      <c r="J179" s="458" t="str">
        <f t="shared" si="16"/>
        <v/>
      </c>
      <c r="K179" s="473"/>
      <c r="L179" s="456">
        <v>0</v>
      </c>
      <c r="M179" s="467">
        <f t="shared" si="17"/>
        <v>0</v>
      </c>
      <c r="N179" s="456">
        <v>0.45</v>
      </c>
      <c r="O179" s="467">
        <f t="shared" si="14"/>
        <v>1</v>
      </c>
      <c r="P179" s="456">
        <v>0.45</v>
      </c>
      <c r="Q179" s="458">
        <f t="shared" si="15"/>
        <v>1</v>
      </c>
      <c r="R179" s="432" t="s">
        <v>1488</v>
      </c>
      <c r="S179" s="436">
        <v>2019</v>
      </c>
    </row>
    <row r="180" spans="1:19" ht="56.25">
      <c r="A180" s="457" t="s">
        <v>2258</v>
      </c>
      <c r="B180" s="471" t="s">
        <v>2259</v>
      </c>
      <c r="C180" s="472" t="s">
        <v>260</v>
      </c>
      <c r="D180" s="428" t="s">
        <v>3276</v>
      </c>
      <c r="E180" s="475">
        <v>0.17</v>
      </c>
      <c r="F180" s="456">
        <v>0.17</v>
      </c>
      <c r="G180" s="427" t="s">
        <v>3465</v>
      </c>
      <c r="H180" s="427" t="s">
        <v>3466</v>
      </c>
      <c r="I180" s="456"/>
      <c r="J180" s="458" t="str">
        <f t="shared" si="16"/>
        <v/>
      </c>
      <c r="K180" s="473"/>
      <c r="L180" s="456">
        <v>0</v>
      </c>
      <c r="M180" s="467">
        <f t="shared" si="17"/>
        <v>0</v>
      </c>
      <c r="N180" s="456">
        <v>0.17</v>
      </c>
      <c r="O180" s="467">
        <f t="shared" si="14"/>
        <v>1</v>
      </c>
      <c r="P180" s="456">
        <v>0.17</v>
      </c>
      <c r="Q180" s="458">
        <f t="shared" si="15"/>
        <v>1</v>
      </c>
      <c r="R180" s="432" t="s">
        <v>1488</v>
      </c>
      <c r="S180" s="436">
        <v>2019</v>
      </c>
    </row>
    <row r="181" spans="1:19" ht="112.5">
      <c r="A181" s="457" t="s">
        <v>2260</v>
      </c>
      <c r="B181" s="471" t="s">
        <v>2035</v>
      </c>
      <c r="C181" s="472" t="s">
        <v>261</v>
      </c>
      <c r="D181" s="428" t="s">
        <v>3276</v>
      </c>
      <c r="E181" s="475">
        <v>1.7</v>
      </c>
      <c r="F181" s="456">
        <v>1.7</v>
      </c>
      <c r="G181" s="427" t="s">
        <v>3467</v>
      </c>
      <c r="H181" s="427" t="s">
        <v>3468</v>
      </c>
      <c r="I181" s="456"/>
      <c r="J181" s="458" t="str">
        <f t="shared" si="16"/>
        <v/>
      </c>
      <c r="K181" s="473"/>
      <c r="L181" s="456">
        <v>0</v>
      </c>
      <c r="M181" s="467">
        <f t="shared" si="17"/>
        <v>0</v>
      </c>
      <c r="N181" s="456">
        <v>1.7</v>
      </c>
      <c r="O181" s="467">
        <f t="shared" si="14"/>
        <v>1</v>
      </c>
      <c r="P181" s="456">
        <v>1.7</v>
      </c>
      <c r="Q181" s="458">
        <f t="shared" si="15"/>
        <v>1</v>
      </c>
      <c r="R181" s="432" t="s">
        <v>1488</v>
      </c>
      <c r="S181" s="436">
        <v>2019</v>
      </c>
    </row>
    <row r="182" spans="1:19" ht="56.25">
      <c r="A182" s="457" t="s">
        <v>2261</v>
      </c>
      <c r="B182" s="471" t="s">
        <v>2091</v>
      </c>
      <c r="C182" s="472" t="s">
        <v>262</v>
      </c>
      <c r="D182" s="428" t="s">
        <v>3276</v>
      </c>
      <c r="E182" s="475">
        <v>0.53100000000000003</v>
      </c>
      <c r="F182" s="456">
        <v>0.53100000000000003</v>
      </c>
      <c r="G182" s="427" t="s">
        <v>2627</v>
      </c>
      <c r="H182" s="427" t="s">
        <v>3464</v>
      </c>
      <c r="I182" s="456"/>
      <c r="J182" s="458" t="str">
        <f t="shared" si="16"/>
        <v/>
      </c>
      <c r="K182" s="473"/>
      <c r="L182" s="456">
        <v>0</v>
      </c>
      <c r="M182" s="467">
        <f t="shared" si="17"/>
        <v>0</v>
      </c>
      <c r="N182" s="456">
        <v>0.4</v>
      </c>
      <c r="O182" s="467">
        <f t="shared" si="14"/>
        <v>0.75329566854990582</v>
      </c>
      <c r="P182" s="456">
        <v>0.53100000000000003</v>
      </c>
      <c r="Q182" s="458">
        <f t="shared" si="15"/>
        <v>1</v>
      </c>
      <c r="R182" s="432" t="s">
        <v>1488</v>
      </c>
      <c r="S182" s="436">
        <v>2019</v>
      </c>
    </row>
    <row r="183" spans="1:19" ht="56.25">
      <c r="A183" s="457" t="s">
        <v>2262</v>
      </c>
      <c r="B183" s="471" t="s">
        <v>2263</v>
      </c>
      <c r="C183" s="472" t="s">
        <v>263</v>
      </c>
      <c r="D183" s="428" t="s">
        <v>3276</v>
      </c>
      <c r="E183" s="475">
        <v>0.37</v>
      </c>
      <c r="F183" s="456">
        <v>0.37</v>
      </c>
      <c r="G183" s="427" t="s">
        <v>2645</v>
      </c>
      <c r="H183" s="427" t="s">
        <v>2675</v>
      </c>
      <c r="I183" s="456"/>
      <c r="J183" s="458" t="str">
        <f t="shared" si="16"/>
        <v/>
      </c>
      <c r="K183" s="473"/>
      <c r="L183" s="456">
        <v>0</v>
      </c>
      <c r="M183" s="467">
        <f t="shared" si="17"/>
        <v>0</v>
      </c>
      <c r="N183" s="456">
        <v>0</v>
      </c>
      <c r="O183" s="467">
        <f t="shared" ref="O183:O246" si="18">N183/F183</f>
        <v>0</v>
      </c>
      <c r="P183" s="456">
        <v>0.37</v>
      </c>
      <c r="Q183" s="458">
        <f t="shared" ref="Q183:Q246" si="19">P183/F183</f>
        <v>1</v>
      </c>
      <c r="R183" s="432" t="s">
        <v>1488</v>
      </c>
      <c r="S183" s="436">
        <v>2019</v>
      </c>
    </row>
    <row r="184" spans="1:19" ht="56.25">
      <c r="A184" s="457" t="s">
        <v>2264</v>
      </c>
      <c r="B184" s="471" t="s">
        <v>2265</v>
      </c>
      <c r="C184" s="472" t="s">
        <v>264</v>
      </c>
      <c r="D184" s="428" t="s">
        <v>3276</v>
      </c>
      <c r="E184" s="475">
        <v>0.18</v>
      </c>
      <c r="F184" s="456">
        <v>0.18</v>
      </c>
      <c r="G184" s="427" t="s">
        <v>2645</v>
      </c>
      <c r="H184" s="427" t="s">
        <v>2636</v>
      </c>
      <c r="I184" s="456"/>
      <c r="J184" s="458" t="str">
        <f t="shared" si="16"/>
        <v/>
      </c>
      <c r="K184" s="473"/>
      <c r="L184" s="456">
        <v>0</v>
      </c>
      <c r="M184" s="467">
        <f t="shared" si="17"/>
        <v>0</v>
      </c>
      <c r="N184" s="456">
        <v>0</v>
      </c>
      <c r="O184" s="467">
        <f t="shared" si="18"/>
        <v>0</v>
      </c>
      <c r="P184" s="456">
        <v>0.18</v>
      </c>
      <c r="Q184" s="458">
        <f t="shared" si="19"/>
        <v>1</v>
      </c>
      <c r="R184" s="432" t="s">
        <v>1488</v>
      </c>
      <c r="S184" s="436">
        <v>2019</v>
      </c>
    </row>
    <row r="185" spans="1:19" ht="56.25">
      <c r="A185" s="457" t="s">
        <v>2266</v>
      </c>
      <c r="B185" s="471" t="s">
        <v>3272</v>
      </c>
      <c r="C185" s="472" t="s">
        <v>265</v>
      </c>
      <c r="D185" s="428" t="s">
        <v>3276</v>
      </c>
      <c r="E185" s="475">
        <v>0.46</v>
      </c>
      <c r="F185" s="456">
        <v>0.46</v>
      </c>
      <c r="G185" s="427" t="s">
        <v>2645</v>
      </c>
      <c r="H185" s="427" t="s">
        <v>3469</v>
      </c>
      <c r="I185" s="456"/>
      <c r="J185" s="458" t="str">
        <f t="shared" si="16"/>
        <v/>
      </c>
      <c r="K185" s="473"/>
      <c r="L185" s="456">
        <v>0</v>
      </c>
      <c r="M185" s="467">
        <f t="shared" si="17"/>
        <v>0</v>
      </c>
      <c r="N185" s="456">
        <v>0.46</v>
      </c>
      <c r="O185" s="467">
        <f t="shared" si="18"/>
        <v>1</v>
      </c>
      <c r="P185" s="456">
        <v>0.46</v>
      </c>
      <c r="Q185" s="458">
        <f t="shared" si="19"/>
        <v>1</v>
      </c>
      <c r="R185" s="432" t="s">
        <v>1488</v>
      </c>
      <c r="S185" s="436">
        <v>2019</v>
      </c>
    </row>
    <row r="186" spans="1:19" ht="75">
      <c r="A186" s="457" t="s">
        <v>2267</v>
      </c>
      <c r="B186" s="471" t="s">
        <v>2215</v>
      </c>
      <c r="C186" s="472" t="s">
        <v>266</v>
      </c>
      <c r="D186" s="428" t="s">
        <v>3276</v>
      </c>
      <c r="E186" s="475">
        <v>4.72</v>
      </c>
      <c r="F186" s="456">
        <v>4.72</v>
      </c>
      <c r="G186" s="427" t="s">
        <v>3470</v>
      </c>
      <c r="H186" s="427" t="s">
        <v>3471</v>
      </c>
      <c r="I186" s="456"/>
      <c r="J186" s="458" t="str">
        <f t="shared" si="16"/>
        <v/>
      </c>
      <c r="K186" s="473"/>
      <c r="L186" s="456">
        <v>0</v>
      </c>
      <c r="M186" s="467">
        <f t="shared" si="17"/>
        <v>0</v>
      </c>
      <c r="N186" s="456">
        <v>0.67</v>
      </c>
      <c r="O186" s="467">
        <f t="shared" si="18"/>
        <v>0.14194915254237289</v>
      </c>
      <c r="P186" s="456">
        <v>4.72</v>
      </c>
      <c r="Q186" s="458">
        <f t="shared" si="19"/>
        <v>1</v>
      </c>
      <c r="R186" s="432" t="s">
        <v>1488</v>
      </c>
      <c r="S186" s="436">
        <v>2019</v>
      </c>
    </row>
    <row r="187" spans="1:19" ht="56.25">
      <c r="A187" s="457" t="s">
        <v>2268</v>
      </c>
      <c r="B187" s="471" t="s">
        <v>2269</v>
      </c>
      <c r="C187" s="472" t="s">
        <v>267</v>
      </c>
      <c r="D187" s="428" t="s">
        <v>3276</v>
      </c>
      <c r="E187" s="475">
        <v>7.3</v>
      </c>
      <c r="F187" s="456">
        <v>7.3</v>
      </c>
      <c r="G187" s="427" t="s">
        <v>2636</v>
      </c>
      <c r="H187" s="427" t="s">
        <v>3472</v>
      </c>
      <c r="I187" s="456">
        <v>7.3</v>
      </c>
      <c r="J187" s="458">
        <f t="shared" si="16"/>
        <v>1</v>
      </c>
      <c r="K187" s="473">
        <v>43361</v>
      </c>
      <c r="L187" s="456"/>
      <c r="M187" s="467" t="str">
        <f t="shared" si="17"/>
        <v/>
      </c>
      <c r="N187" s="456">
        <v>7.3</v>
      </c>
      <c r="O187" s="467">
        <f t="shared" si="18"/>
        <v>1</v>
      </c>
      <c r="P187" s="456">
        <v>7.3</v>
      </c>
      <c r="Q187" s="458">
        <f t="shared" si="19"/>
        <v>1</v>
      </c>
      <c r="R187" s="432" t="s">
        <v>1488</v>
      </c>
      <c r="S187" s="436">
        <v>2019</v>
      </c>
    </row>
    <row r="188" spans="1:19" ht="56.25">
      <c r="A188" s="457" t="s">
        <v>2270</v>
      </c>
      <c r="B188" s="471" t="s">
        <v>2271</v>
      </c>
      <c r="C188" s="472" t="s">
        <v>268</v>
      </c>
      <c r="D188" s="428" t="s">
        <v>3276</v>
      </c>
      <c r="E188" s="475">
        <v>1.1100000000000001</v>
      </c>
      <c r="F188" s="456">
        <v>1.1100000000000001</v>
      </c>
      <c r="G188" s="427" t="s">
        <v>2645</v>
      </c>
      <c r="H188" s="427" t="s">
        <v>3473</v>
      </c>
      <c r="I188" s="456"/>
      <c r="J188" s="458" t="str">
        <f t="shared" si="16"/>
        <v/>
      </c>
      <c r="K188" s="473"/>
      <c r="L188" s="456">
        <v>0</v>
      </c>
      <c r="M188" s="467">
        <f t="shared" si="17"/>
        <v>0</v>
      </c>
      <c r="N188" s="456">
        <v>1.1100000000000001</v>
      </c>
      <c r="O188" s="467">
        <f t="shared" si="18"/>
        <v>1</v>
      </c>
      <c r="P188" s="456">
        <v>1.1100000000000001</v>
      </c>
      <c r="Q188" s="458">
        <f t="shared" si="19"/>
        <v>1</v>
      </c>
      <c r="R188" s="432" t="s">
        <v>1488</v>
      </c>
      <c r="S188" s="436">
        <v>2019</v>
      </c>
    </row>
    <row r="189" spans="1:19" ht="56.25">
      <c r="A189" s="457" t="s">
        <v>2272</v>
      </c>
      <c r="B189" s="471" t="s">
        <v>2273</v>
      </c>
      <c r="C189" s="472" t="s">
        <v>269</v>
      </c>
      <c r="D189" s="428" t="s">
        <v>3276</v>
      </c>
      <c r="E189" s="475">
        <v>1.1200000000000001</v>
      </c>
      <c r="F189" s="456">
        <v>1.1200000000000001</v>
      </c>
      <c r="G189" s="427" t="s">
        <v>3474</v>
      </c>
      <c r="H189" s="427" t="s">
        <v>3475</v>
      </c>
      <c r="I189" s="456">
        <v>1.1200000000000001</v>
      </c>
      <c r="J189" s="458">
        <f t="shared" si="16"/>
        <v>1</v>
      </c>
      <c r="K189" s="473">
        <v>43361</v>
      </c>
      <c r="L189" s="456"/>
      <c r="M189" s="467" t="str">
        <f t="shared" si="17"/>
        <v/>
      </c>
      <c r="N189" s="456">
        <v>1.1200000000000001</v>
      </c>
      <c r="O189" s="467">
        <f t="shared" si="18"/>
        <v>1</v>
      </c>
      <c r="P189" s="456">
        <v>1.1200000000000001</v>
      </c>
      <c r="Q189" s="458">
        <f t="shared" si="19"/>
        <v>1</v>
      </c>
      <c r="R189" s="432" t="s">
        <v>1488</v>
      </c>
      <c r="S189" s="436">
        <v>2019</v>
      </c>
    </row>
    <row r="190" spans="1:19" ht="56.25">
      <c r="A190" s="457" t="s">
        <v>2274</v>
      </c>
      <c r="B190" s="471" t="s">
        <v>2275</v>
      </c>
      <c r="C190" s="472" t="s">
        <v>270</v>
      </c>
      <c r="D190" s="428" t="s">
        <v>3276</v>
      </c>
      <c r="E190" s="475">
        <v>0.15</v>
      </c>
      <c r="F190" s="456">
        <v>0.15</v>
      </c>
      <c r="G190" s="427" t="s">
        <v>2645</v>
      </c>
      <c r="H190" s="427" t="s">
        <v>3476</v>
      </c>
      <c r="I190" s="456"/>
      <c r="J190" s="458" t="str">
        <f t="shared" si="16"/>
        <v/>
      </c>
      <c r="K190" s="473"/>
      <c r="L190" s="456">
        <v>0</v>
      </c>
      <c r="M190" s="467">
        <f t="shared" si="17"/>
        <v>0</v>
      </c>
      <c r="N190" s="456">
        <v>0</v>
      </c>
      <c r="O190" s="467">
        <f t="shared" si="18"/>
        <v>0</v>
      </c>
      <c r="P190" s="456">
        <v>0</v>
      </c>
      <c r="Q190" s="458">
        <f t="shared" si="19"/>
        <v>0</v>
      </c>
      <c r="R190" s="432" t="s">
        <v>1488</v>
      </c>
      <c r="S190" s="436">
        <v>2019</v>
      </c>
    </row>
    <row r="191" spans="1:19" ht="56.25">
      <c r="A191" s="457" t="s">
        <v>2276</v>
      </c>
      <c r="B191" s="471" t="s">
        <v>2277</v>
      </c>
      <c r="C191" s="472" t="s">
        <v>271</v>
      </c>
      <c r="D191" s="428" t="s">
        <v>3276</v>
      </c>
      <c r="E191" s="475">
        <v>0.45</v>
      </c>
      <c r="F191" s="456">
        <v>0.45</v>
      </c>
      <c r="G191" s="427" t="s">
        <v>2627</v>
      </c>
      <c r="H191" s="427" t="s">
        <v>3477</v>
      </c>
      <c r="I191" s="456"/>
      <c r="J191" s="458" t="str">
        <f t="shared" si="16"/>
        <v/>
      </c>
      <c r="K191" s="473"/>
      <c r="L191" s="456">
        <v>0</v>
      </c>
      <c r="M191" s="467">
        <f t="shared" si="17"/>
        <v>0</v>
      </c>
      <c r="N191" s="456">
        <v>0.45</v>
      </c>
      <c r="O191" s="467">
        <f t="shared" si="18"/>
        <v>1</v>
      </c>
      <c r="P191" s="456">
        <v>0.45</v>
      </c>
      <c r="Q191" s="458">
        <f t="shared" si="19"/>
        <v>1</v>
      </c>
      <c r="R191" s="432" t="s">
        <v>1488</v>
      </c>
      <c r="S191" s="436">
        <v>2019</v>
      </c>
    </row>
    <row r="192" spans="1:19" ht="56.25">
      <c r="A192" s="457" t="s">
        <v>2278</v>
      </c>
      <c r="B192" s="471" t="s">
        <v>2279</v>
      </c>
      <c r="C192" s="472" t="s">
        <v>272</v>
      </c>
      <c r="D192" s="428" t="s">
        <v>3276</v>
      </c>
      <c r="E192" s="475">
        <v>3.7</v>
      </c>
      <c r="F192" s="456">
        <v>3.7</v>
      </c>
      <c r="G192" s="427" t="s">
        <v>2645</v>
      </c>
      <c r="H192" s="427" t="s">
        <v>3478</v>
      </c>
      <c r="I192" s="456">
        <v>2.5499999999999998</v>
      </c>
      <c r="J192" s="458">
        <f t="shared" si="16"/>
        <v>0.68918918918918914</v>
      </c>
      <c r="K192" s="473">
        <v>43361</v>
      </c>
      <c r="L192" s="456"/>
      <c r="M192" s="467" t="str">
        <f t="shared" si="17"/>
        <v/>
      </c>
      <c r="N192" s="456">
        <v>2.5499999999999998</v>
      </c>
      <c r="O192" s="467">
        <f t="shared" si="18"/>
        <v>0.68918918918918914</v>
      </c>
      <c r="P192" s="456">
        <v>2.5499999999999998</v>
      </c>
      <c r="Q192" s="458">
        <f t="shared" si="19"/>
        <v>0.68918918918918914</v>
      </c>
      <c r="R192" s="432" t="s">
        <v>1488</v>
      </c>
      <c r="S192" s="436">
        <v>2019</v>
      </c>
    </row>
    <row r="193" spans="1:19" ht="56.25">
      <c r="A193" s="457" t="s">
        <v>2280</v>
      </c>
      <c r="B193" s="471" t="s">
        <v>2281</v>
      </c>
      <c r="C193" s="472" t="s">
        <v>273</v>
      </c>
      <c r="D193" s="428" t="s">
        <v>3276</v>
      </c>
      <c r="E193" s="475">
        <v>0.61</v>
      </c>
      <c r="F193" s="456">
        <v>0.61</v>
      </c>
      <c r="G193" s="427" t="s">
        <v>2627</v>
      </c>
      <c r="H193" s="427" t="s">
        <v>3479</v>
      </c>
      <c r="I193" s="456"/>
      <c r="J193" s="458" t="str">
        <f t="shared" si="16"/>
        <v/>
      </c>
      <c r="K193" s="473">
        <v>43361</v>
      </c>
      <c r="L193" s="456">
        <v>0</v>
      </c>
      <c r="M193" s="467">
        <f t="shared" si="17"/>
        <v>0</v>
      </c>
      <c r="N193" s="456">
        <v>0</v>
      </c>
      <c r="O193" s="467">
        <f t="shared" si="18"/>
        <v>0</v>
      </c>
      <c r="P193" s="456">
        <v>0.61</v>
      </c>
      <c r="Q193" s="458">
        <f t="shared" si="19"/>
        <v>1</v>
      </c>
      <c r="R193" s="432" t="s">
        <v>1488</v>
      </c>
      <c r="S193" s="436">
        <v>2019</v>
      </c>
    </row>
    <row r="194" spans="1:19" ht="56.25">
      <c r="A194" s="457" t="s">
        <v>2282</v>
      </c>
      <c r="B194" s="471" t="s">
        <v>2283</v>
      </c>
      <c r="C194" s="472" t="s">
        <v>274</v>
      </c>
      <c r="D194" s="428" t="s">
        <v>3276</v>
      </c>
      <c r="E194" s="475">
        <v>0.66</v>
      </c>
      <c r="F194" s="456">
        <v>0.66</v>
      </c>
      <c r="G194" s="427" t="s">
        <v>2627</v>
      </c>
      <c r="H194" s="427" t="s">
        <v>3464</v>
      </c>
      <c r="I194" s="456"/>
      <c r="J194" s="458" t="str">
        <f t="shared" si="16"/>
        <v/>
      </c>
      <c r="K194" s="473">
        <v>43361</v>
      </c>
      <c r="L194" s="456">
        <v>0</v>
      </c>
      <c r="M194" s="467">
        <f t="shared" si="17"/>
        <v>0</v>
      </c>
      <c r="N194" s="456">
        <v>0</v>
      </c>
      <c r="O194" s="467">
        <f t="shared" si="18"/>
        <v>0</v>
      </c>
      <c r="P194" s="456">
        <v>0.66</v>
      </c>
      <c r="Q194" s="458">
        <f t="shared" si="19"/>
        <v>1</v>
      </c>
      <c r="R194" s="432" t="s">
        <v>1488</v>
      </c>
      <c r="S194" s="436">
        <v>2019</v>
      </c>
    </row>
    <row r="195" spans="1:19" ht="56.25">
      <c r="A195" s="457" t="s">
        <v>2284</v>
      </c>
      <c r="B195" s="471" t="s">
        <v>2285</v>
      </c>
      <c r="C195" s="472" t="s">
        <v>275</v>
      </c>
      <c r="D195" s="428" t="s">
        <v>3276</v>
      </c>
      <c r="E195" s="475">
        <v>1.26</v>
      </c>
      <c r="F195" s="456">
        <v>1.26</v>
      </c>
      <c r="G195" s="427" t="s">
        <v>3480</v>
      </c>
      <c r="H195" s="427" t="s">
        <v>3481</v>
      </c>
      <c r="I195" s="456"/>
      <c r="J195" s="458" t="str">
        <f t="shared" si="16"/>
        <v/>
      </c>
      <c r="K195" s="473">
        <v>43361</v>
      </c>
      <c r="L195" s="456">
        <v>0</v>
      </c>
      <c r="M195" s="467">
        <f t="shared" si="17"/>
        <v>0</v>
      </c>
      <c r="N195" s="456">
        <v>0.91</v>
      </c>
      <c r="O195" s="467">
        <f t="shared" si="18"/>
        <v>0.72222222222222221</v>
      </c>
      <c r="P195" s="456">
        <v>0.91</v>
      </c>
      <c r="Q195" s="458">
        <f t="shared" si="19"/>
        <v>0.72222222222222221</v>
      </c>
      <c r="R195" s="432" t="s">
        <v>1488</v>
      </c>
      <c r="S195" s="436">
        <v>2019</v>
      </c>
    </row>
    <row r="196" spans="1:19" ht="56.25">
      <c r="A196" s="457" t="s">
        <v>2286</v>
      </c>
      <c r="B196" s="471" t="s">
        <v>2287</v>
      </c>
      <c r="C196" s="472" t="s">
        <v>276</v>
      </c>
      <c r="D196" s="428" t="s">
        <v>3276</v>
      </c>
      <c r="E196" s="475">
        <v>0.24</v>
      </c>
      <c r="F196" s="456">
        <v>0.24</v>
      </c>
      <c r="G196" s="427" t="s">
        <v>2645</v>
      </c>
      <c r="H196" s="427" t="s">
        <v>3469</v>
      </c>
      <c r="I196" s="456">
        <v>0.24</v>
      </c>
      <c r="J196" s="458">
        <f t="shared" si="16"/>
        <v>1</v>
      </c>
      <c r="K196" s="473">
        <v>43361</v>
      </c>
      <c r="L196" s="456"/>
      <c r="M196" s="467" t="str">
        <f t="shared" si="17"/>
        <v/>
      </c>
      <c r="N196" s="456">
        <v>0.24</v>
      </c>
      <c r="O196" s="467">
        <f t="shared" si="18"/>
        <v>1</v>
      </c>
      <c r="P196" s="456">
        <v>0.24</v>
      </c>
      <c r="Q196" s="458">
        <f t="shared" si="19"/>
        <v>1</v>
      </c>
      <c r="R196" s="432" t="s">
        <v>1488</v>
      </c>
      <c r="S196" s="436">
        <v>2019</v>
      </c>
    </row>
    <row r="197" spans="1:19" ht="56.25">
      <c r="A197" s="457" t="s">
        <v>2288</v>
      </c>
      <c r="B197" s="471" t="s">
        <v>2289</v>
      </c>
      <c r="C197" s="472" t="s">
        <v>277</v>
      </c>
      <c r="D197" s="428" t="s">
        <v>3276</v>
      </c>
      <c r="E197" s="475">
        <v>0.62</v>
      </c>
      <c r="F197" s="456">
        <v>0.62</v>
      </c>
      <c r="G197" s="427" t="s">
        <v>3463</v>
      </c>
      <c r="H197" s="427" t="s">
        <v>3482</v>
      </c>
      <c r="I197" s="456">
        <v>0.62</v>
      </c>
      <c r="J197" s="458">
        <f t="shared" si="16"/>
        <v>1</v>
      </c>
      <c r="K197" s="473">
        <v>43361</v>
      </c>
      <c r="L197" s="456"/>
      <c r="M197" s="467" t="str">
        <f t="shared" si="17"/>
        <v/>
      </c>
      <c r="N197" s="456">
        <v>0.62</v>
      </c>
      <c r="O197" s="467">
        <f t="shared" si="18"/>
        <v>1</v>
      </c>
      <c r="P197" s="456">
        <v>0.62</v>
      </c>
      <c r="Q197" s="458">
        <f t="shared" si="19"/>
        <v>1</v>
      </c>
      <c r="R197" s="432" t="s">
        <v>1488</v>
      </c>
      <c r="S197" s="436">
        <v>2019</v>
      </c>
    </row>
    <row r="198" spans="1:19" ht="56.25">
      <c r="A198" s="457" t="s">
        <v>2290</v>
      </c>
      <c r="B198" s="471" t="s">
        <v>2291</v>
      </c>
      <c r="C198" s="472" t="s">
        <v>278</v>
      </c>
      <c r="D198" s="428" t="s">
        <v>3276</v>
      </c>
      <c r="E198" s="475">
        <v>0.65</v>
      </c>
      <c r="F198" s="456">
        <v>0.65</v>
      </c>
      <c r="G198" s="427" t="s">
        <v>2645</v>
      </c>
      <c r="H198" s="427" t="s">
        <v>3478</v>
      </c>
      <c r="I198" s="456"/>
      <c r="J198" s="458" t="str">
        <f t="shared" si="16"/>
        <v/>
      </c>
      <c r="K198" s="473"/>
      <c r="L198" s="456">
        <v>0</v>
      </c>
      <c r="M198" s="467">
        <f t="shared" si="17"/>
        <v>0</v>
      </c>
      <c r="N198" s="456">
        <v>0.65</v>
      </c>
      <c r="O198" s="467">
        <f t="shared" si="18"/>
        <v>1</v>
      </c>
      <c r="P198" s="456">
        <v>0.65</v>
      </c>
      <c r="Q198" s="458">
        <f t="shared" si="19"/>
        <v>1</v>
      </c>
      <c r="R198" s="432" t="s">
        <v>1488</v>
      </c>
      <c r="S198" s="436">
        <v>2019</v>
      </c>
    </row>
    <row r="199" spans="1:19" ht="56.25">
      <c r="A199" s="457" t="s">
        <v>2292</v>
      </c>
      <c r="B199" s="471" t="s">
        <v>2293</v>
      </c>
      <c r="C199" s="472" t="s">
        <v>279</v>
      </c>
      <c r="D199" s="428" t="s">
        <v>3276</v>
      </c>
      <c r="E199" s="475">
        <v>1.7</v>
      </c>
      <c r="F199" s="456">
        <v>1.7</v>
      </c>
      <c r="G199" s="427" t="s">
        <v>2647</v>
      </c>
      <c r="H199" s="427" t="s">
        <v>3483</v>
      </c>
      <c r="I199" s="456"/>
      <c r="J199" s="458" t="str">
        <f t="shared" si="16"/>
        <v/>
      </c>
      <c r="K199" s="473"/>
      <c r="L199" s="456">
        <v>0</v>
      </c>
      <c r="M199" s="467">
        <f t="shared" si="17"/>
        <v>0</v>
      </c>
      <c r="N199" s="456">
        <v>1.7</v>
      </c>
      <c r="O199" s="467">
        <f t="shared" si="18"/>
        <v>1</v>
      </c>
      <c r="P199" s="456">
        <v>1.7</v>
      </c>
      <c r="Q199" s="458">
        <f t="shared" si="19"/>
        <v>1</v>
      </c>
      <c r="R199" s="432" t="s">
        <v>1488</v>
      </c>
      <c r="S199" s="436">
        <v>2019</v>
      </c>
    </row>
    <row r="200" spans="1:19" ht="56.25">
      <c r="A200" s="457" t="s">
        <v>2294</v>
      </c>
      <c r="B200" s="471" t="s">
        <v>2295</v>
      </c>
      <c r="C200" s="472" t="s">
        <v>280</v>
      </c>
      <c r="D200" s="428" t="s">
        <v>3276</v>
      </c>
      <c r="E200" s="475">
        <v>0.43</v>
      </c>
      <c r="F200" s="456">
        <v>0.43</v>
      </c>
      <c r="G200" s="427" t="s">
        <v>2645</v>
      </c>
      <c r="H200" s="427" t="s">
        <v>3469</v>
      </c>
      <c r="I200" s="456"/>
      <c r="J200" s="458" t="str">
        <f t="shared" si="16"/>
        <v/>
      </c>
      <c r="K200" s="473"/>
      <c r="L200" s="456">
        <v>0</v>
      </c>
      <c r="M200" s="467">
        <f t="shared" si="17"/>
        <v>0</v>
      </c>
      <c r="N200" s="456">
        <v>0</v>
      </c>
      <c r="O200" s="467">
        <f t="shared" si="18"/>
        <v>0</v>
      </c>
      <c r="P200" s="456">
        <v>0.43</v>
      </c>
      <c r="Q200" s="458">
        <f t="shared" si="19"/>
        <v>1</v>
      </c>
      <c r="R200" s="432" t="s">
        <v>1488</v>
      </c>
      <c r="S200" s="436">
        <v>2019</v>
      </c>
    </row>
    <row r="201" spans="1:19" ht="56.25">
      <c r="A201" s="457" t="s">
        <v>2296</v>
      </c>
      <c r="B201" s="471" t="s">
        <v>2297</v>
      </c>
      <c r="C201" s="472" t="s">
        <v>281</v>
      </c>
      <c r="D201" s="428" t="s">
        <v>3276</v>
      </c>
      <c r="E201" s="475">
        <v>0.71</v>
      </c>
      <c r="F201" s="456">
        <v>0.71</v>
      </c>
      <c r="G201" s="427" t="s">
        <v>2627</v>
      </c>
      <c r="H201" s="427" t="s">
        <v>3477</v>
      </c>
      <c r="I201" s="456">
        <v>0.63</v>
      </c>
      <c r="J201" s="458">
        <f t="shared" si="16"/>
        <v>0.88732394366197187</v>
      </c>
      <c r="K201" s="473">
        <v>43361</v>
      </c>
      <c r="L201" s="456"/>
      <c r="M201" s="467" t="str">
        <f t="shared" si="17"/>
        <v/>
      </c>
      <c r="N201" s="456">
        <v>0.63</v>
      </c>
      <c r="O201" s="467">
        <f t="shared" si="18"/>
        <v>0.88732394366197187</v>
      </c>
      <c r="P201" s="456">
        <v>0.63</v>
      </c>
      <c r="Q201" s="458">
        <f t="shared" si="19"/>
        <v>0.88732394366197187</v>
      </c>
      <c r="R201" s="432" t="s">
        <v>1488</v>
      </c>
      <c r="S201" s="436">
        <v>2019</v>
      </c>
    </row>
    <row r="202" spans="1:19" ht="56.25">
      <c r="A202" s="457" t="s">
        <v>2298</v>
      </c>
      <c r="B202" s="471" t="s">
        <v>2299</v>
      </c>
      <c r="C202" s="472" t="s">
        <v>282</v>
      </c>
      <c r="D202" s="428" t="s">
        <v>3276</v>
      </c>
      <c r="E202" s="475">
        <v>0.16</v>
      </c>
      <c r="F202" s="456">
        <v>0.16</v>
      </c>
      <c r="G202" s="427" t="s">
        <v>3480</v>
      </c>
      <c r="H202" s="427" t="s">
        <v>3479</v>
      </c>
      <c r="I202" s="456"/>
      <c r="J202" s="458" t="str">
        <f t="shared" si="16"/>
        <v/>
      </c>
      <c r="K202" s="473"/>
      <c r="L202" s="456">
        <v>0</v>
      </c>
      <c r="M202" s="467">
        <f t="shared" si="17"/>
        <v>0</v>
      </c>
      <c r="N202" s="456">
        <v>0</v>
      </c>
      <c r="O202" s="467">
        <f t="shared" si="18"/>
        <v>0</v>
      </c>
      <c r="P202" s="456">
        <v>0.16</v>
      </c>
      <c r="Q202" s="458">
        <f t="shared" si="19"/>
        <v>1</v>
      </c>
      <c r="R202" s="432" t="s">
        <v>1488</v>
      </c>
      <c r="S202" s="436">
        <v>2019</v>
      </c>
    </row>
    <row r="203" spans="1:19" ht="56.25">
      <c r="A203" s="457" t="s">
        <v>2300</v>
      </c>
      <c r="B203" s="471" t="s">
        <v>2301</v>
      </c>
      <c r="C203" s="472" t="s">
        <v>283</v>
      </c>
      <c r="D203" s="428" t="s">
        <v>3276</v>
      </c>
      <c r="E203" s="475">
        <v>0.1</v>
      </c>
      <c r="F203" s="456">
        <v>0.1</v>
      </c>
      <c r="G203" s="427" t="s">
        <v>2674</v>
      </c>
      <c r="H203" s="427" t="s">
        <v>3484</v>
      </c>
      <c r="I203" s="456"/>
      <c r="J203" s="458" t="str">
        <f t="shared" si="16"/>
        <v/>
      </c>
      <c r="K203" s="473"/>
      <c r="L203" s="456">
        <v>0</v>
      </c>
      <c r="M203" s="467">
        <f t="shared" si="17"/>
        <v>0</v>
      </c>
      <c r="N203" s="456">
        <v>0</v>
      </c>
      <c r="O203" s="467">
        <f t="shared" si="18"/>
        <v>0</v>
      </c>
      <c r="P203" s="456">
        <v>0.1</v>
      </c>
      <c r="Q203" s="458">
        <f t="shared" si="19"/>
        <v>1</v>
      </c>
      <c r="R203" s="432" t="s">
        <v>1488</v>
      </c>
      <c r="S203" s="436">
        <v>2019</v>
      </c>
    </row>
    <row r="204" spans="1:19" ht="56.25">
      <c r="A204" s="457" t="s">
        <v>2302</v>
      </c>
      <c r="B204" s="471" t="s">
        <v>2303</v>
      </c>
      <c r="C204" s="472" t="s">
        <v>284</v>
      </c>
      <c r="D204" s="428" t="s">
        <v>3276</v>
      </c>
      <c r="E204" s="475">
        <v>5.89</v>
      </c>
      <c r="F204" s="456">
        <v>5.89</v>
      </c>
      <c r="G204" s="427" t="s">
        <v>2645</v>
      </c>
      <c r="H204" s="427" t="s">
        <v>3485</v>
      </c>
      <c r="I204" s="456">
        <v>5.58</v>
      </c>
      <c r="J204" s="458">
        <f t="shared" si="16"/>
        <v>0.94736842105263164</v>
      </c>
      <c r="K204" s="473">
        <v>43361</v>
      </c>
      <c r="L204" s="456"/>
      <c r="M204" s="467" t="str">
        <f t="shared" si="17"/>
        <v/>
      </c>
      <c r="N204" s="456">
        <v>5.58</v>
      </c>
      <c r="O204" s="467">
        <f t="shared" si="18"/>
        <v>0.94736842105263164</v>
      </c>
      <c r="P204" s="456">
        <v>5.58</v>
      </c>
      <c r="Q204" s="458">
        <f t="shared" si="19"/>
        <v>0.94736842105263164</v>
      </c>
      <c r="R204" s="432" t="s">
        <v>1488</v>
      </c>
      <c r="S204" s="436">
        <v>2019</v>
      </c>
    </row>
    <row r="205" spans="1:19" ht="75">
      <c r="A205" s="457" t="s">
        <v>2304</v>
      </c>
      <c r="B205" s="471" t="s">
        <v>2305</v>
      </c>
      <c r="C205" s="472" t="s">
        <v>285</v>
      </c>
      <c r="D205" s="428" t="s">
        <v>3276</v>
      </c>
      <c r="E205" s="475">
        <v>3.65</v>
      </c>
      <c r="F205" s="456">
        <v>3.65</v>
      </c>
      <c r="G205" s="427" t="s">
        <v>3486</v>
      </c>
      <c r="H205" s="427" t="s">
        <v>3487</v>
      </c>
      <c r="I205" s="456">
        <v>3.65</v>
      </c>
      <c r="J205" s="458">
        <f t="shared" si="16"/>
        <v>1</v>
      </c>
      <c r="K205" s="473">
        <v>43361</v>
      </c>
      <c r="L205" s="456"/>
      <c r="M205" s="467" t="str">
        <f t="shared" si="17"/>
        <v/>
      </c>
      <c r="N205" s="456">
        <v>3.65</v>
      </c>
      <c r="O205" s="467">
        <f t="shared" si="18"/>
        <v>1</v>
      </c>
      <c r="P205" s="456">
        <v>3.65</v>
      </c>
      <c r="Q205" s="458">
        <f t="shared" si="19"/>
        <v>1</v>
      </c>
      <c r="R205" s="432" t="s">
        <v>1488</v>
      </c>
      <c r="S205" s="436">
        <v>2019</v>
      </c>
    </row>
    <row r="206" spans="1:19" ht="56.25">
      <c r="A206" s="457" t="s">
        <v>2306</v>
      </c>
      <c r="B206" s="471" t="s">
        <v>2307</v>
      </c>
      <c r="C206" s="472" t="s">
        <v>286</v>
      </c>
      <c r="D206" s="428" t="s">
        <v>3276</v>
      </c>
      <c r="E206" s="475">
        <v>1.79</v>
      </c>
      <c r="F206" s="456">
        <v>1.79</v>
      </c>
      <c r="G206" s="427" t="s">
        <v>2627</v>
      </c>
      <c r="H206" s="427" t="s">
        <v>3488</v>
      </c>
      <c r="I206" s="456">
        <v>1</v>
      </c>
      <c r="J206" s="458">
        <f t="shared" si="16"/>
        <v>0.55865921787709494</v>
      </c>
      <c r="K206" s="473">
        <v>43361</v>
      </c>
      <c r="L206" s="456"/>
      <c r="M206" s="467" t="str">
        <f t="shared" si="17"/>
        <v/>
      </c>
      <c r="N206" s="456">
        <v>1</v>
      </c>
      <c r="O206" s="467">
        <f t="shared" si="18"/>
        <v>0.55865921787709494</v>
      </c>
      <c r="P206" s="456">
        <v>1</v>
      </c>
      <c r="Q206" s="458">
        <f t="shared" si="19"/>
        <v>0.55865921787709494</v>
      </c>
      <c r="R206" s="432" t="s">
        <v>1488</v>
      </c>
      <c r="S206" s="436">
        <v>2019</v>
      </c>
    </row>
    <row r="207" spans="1:19" ht="56.25">
      <c r="A207" s="457" t="s">
        <v>2308</v>
      </c>
      <c r="B207" s="471" t="s">
        <v>2309</v>
      </c>
      <c r="C207" s="472" t="s">
        <v>287</v>
      </c>
      <c r="D207" s="428" t="s">
        <v>3276</v>
      </c>
      <c r="E207" s="475">
        <v>2.23</v>
      </c>
      <c r="F207" s="456">
        <v>2.23</v>
      </c>
      <c r="G207" s="427" t="s">
        <v>2627</v>
      </c>
      <c r="H207" s="427" t="s">
        <v>3489</v>
      </c>
      <c r="I207" s="456">
        <v>0.46</v>
      </c>
      <c r="J207" s="458">
        <f t="shared" si="16"/>
        <v>0.20627802690582961</v>
      </c>
      <c r="K207" s="473">
        <v>43361</v>
      </c>
      <c r="L207" s="456"/>
      <c r="M207" s="467" t="str">
        <f t="shared" si="17"/>
        <v/>
      </c>
      <c r="N207" s="456">
        <v>0.46</v>
      </c>
      <c r="O207" s="467">
        <f t="shared" si="18"/>
        <v>0.20627802690582961</v>
      </c>
      <c r="P207" s="456">
        <v>2.23</v>
      </c>
      <c r="Q207" s="458">
        <f t="shared" si="19"/>
        <v>1</v>
      </c>
      <c r="R207" s="432" t="s">
        <v>1488</v>
      </c>
      <c r="S207" s="436">
        <v>2019</v>
      </c>
    </row>
    <row r="208" spans="1:19" ht="56.25">
      <c r="A208" s="457" t="s">
        <v>2310</v>
      </c>
      <c r="B208" s="471" t="s">
        <v>2311</v>
      </c>
      <c r="C208" s="472" t="s">
        <v>288</v>
      </c>
      <c r="D208" s="428" t="s">
        <v>3276</v>
      </c>
      <c r="E208" s="475">
        <v>0.22</v>
      </c>
      <c r="F208" s="456">
        <v>0.22</v>
      </c>
      <c r="G208" s="427" t="s">
        <v>2645</v>
      </c>
      <c r="H208" s="427" t="s">
        <v>3483</v>
      </c>
      <c r="I208" s="456"/>
      <c r="J208" s="458" t="str">
        <f t="shared" si="16"/>
        <v/>
      </c>
      <c r="K208" s="473"/>
      <c r="L208" s="456">
        <v>0</v>
      </c>
      <c r="M208" s="467">
        <f t="shared" si="17"/>
        <v>0</v>
      </c>
      <c r="N208" s="456">
        <v>0.22</v>
      </c>
      <c r="O208" s="467">
        <f t="shared" si="18"/>
        <v>1</v>
      </c>
      <c r="P208" s="456">
        <v>0.22</v>
      </c>
      <c r="Q208" s="458">
        <f t="shared" si="19"/>
        <v>1</v>
      </c>
      <c r="R208" s="432" t="s">
        <v>1488</v>
      </c>
      <c r="S208" s="436">
        <v>2019</v>
      </c>
    </row>
    <row r="209" spans="1:19" ht="56.25">
      <c r="A209" s="457" t="s">
        <v>2312</v>
      </c>
      <c r="B209" s="471" t="s">
        <v>2313</v>
      </c>
      <c r="C209" s="472" t="s">
        <v>289</v>
      </c>
      <c r="D209" s="428" t="s">
        <v>3276</v>
      </c>
      <c r="E209" s="475">
        <v>0.52600000000000002</v>
      </c>
      <c r="F209" s="456">
        <v>0.52600000000000002</v>
      </c>
      <c r="G209" s="427" t="s">
        <v>2645</v>
      </c>
      <c r="H209" s="427" t="s">
        <v>2672</v>
      </c>
      <c r="I209" s="456"/>
      <c r="J209" s="458" t="str">
        <f t="shared" si="16"/>
        <v/>
      </c>
      <c r="K209" s="473"/>
      <c r="L209" s="456">
        <v>0</v>
      </c>
      <c r="M209" s="467">
        <f t="shared" si="17"/>
        <v>0</v>
      </c>
      <c r="N209" s="456">
        <v>0</v>
      </c>
      <c r="O209" s="467">
        <f t="shared" si="18"/>
        <v>0</v>
      </c>
      <c r="P209" s="456">
        <v>0</v>
      </c>
      <c r="Q209" s="458">
        <f t="shared" si="19"/>
        <v>0</v>
      </c>
      <c r="R209" s="432" t="s">
        <v>1488</v>
      </c>
      <c r="S209" s="436">
        <v>2019</v>
      </c>
    </row>
    <row r="210" spans="1:19" ht="56.25">
      <c r="A210" s="457" t="s">
        <v>2314</v>
      </c>
      <c r="B210" s="471" t="s">
        <v>2315</v>
      </c>
      <c r="C210" s="472" t="s">
        <v>290</v>
      </c>
      <c r="D210" s="428" t="s">
        <v>3276</v>
      </c>
      <c r="E210" s="475">
        <v>1.1879999999999999</v>
      </c>
      <c r="F210" s="456">
        <v>1.722</v>
      </c>
      <c r="G210" s="427" t="s">
        <v>2645</v>
      </c>
      <c r="H210" s="427" t="s">
        <v>2646</v>
      </c>
      <c r="I210" s="456">
        <v>1.1879999999999999</v>
      </c>
      <c r="J210" s="458">
        <f t="shared" si="16"/>
        <v>0.68989547038327526</v>
      </c>
      <c r="K210" s="473">
        <v>43361</v>
      </c>
      <c r="L210" s="456"/>
      <c r="M210" s="467" t="str">
        <f t="shared" si="17"/>
        <v/>
      </c>
      <c r="N210" s="456">
        <v>1.722</v>
      </c>
      <c r="O210" s="467">
        <f t="shared" si="18"/>
        <v>1</v>
      </c>
      <c r="P210" s="456">
        <v>1.722</v>
      </c>
      <c r="Q210" s="458">
        <f t="shared" si="19"/>
        <v>1</v>
      </c>
      <c r="R210" s="432" t="s">
        <v>1488</v>
      </c>
      <c r="S210" s="436">
        <v>2019</v>
      </c>
    </row>
    <row r="211" spans="1:19" ht="56.25">
      <c r="A211" s="457" t="s">
        <v>2316</v>
      </c>
      <c r="B211" s="471" t="s">
        <v>2317</v>
      </c>
      <c r="C211" s="472" t="s">
        <v>291</v>
      </c>
      <c r="D211" s="428" t="s">
        <v>3276</v>
      </c>
      <c r="E211" s="475">
        <v>0.1</v>
      </c>
      <c r="F211" s="456">
        <v>0.1</v>
      </c>
      <c r="G211" s="427" t="s">
        <v>2627</v>
      </c>
      <c r="H211" s="427" t="s">
        <v>3490</v>
      </c>
      <c r="I211" s="456"/>
      <c r="J211" s="458" t="str">
        <f t="shared" si="16"/>
        <v/>
      </c>
      <c r="K211" s="473"/>
      <c r="L211" s="456">
        <v>0</v>
      </c>
      <c r="M211" s="467">
        <f t="shared" si="17"/>
        <v>0</v>
      </c>
      <c r="N211" s="456">
        <v>0.1</v>
      </c>
      <c r="O211" s="467">
        <f t="shared" si="18"/>
        <v>1</v>
      </c>
      <c r="P211" s="456">
        <v>0.1</v>
      </c>
      <c r="Q211" s="458">
        <f t="shared" si="19"/>
        <v>1</v>
      </c>
      <c r="R211" s="432" t="s">
        <v>1488</v>
      </c>
      <c r="S211" s="436">
        <v>2019</v>
      </c>
    </row>
    <row r="212" spans="1:19" ht="56.25">
      <c r="A212" s="457" t="s">
        <v>2318</v>
      </c>
      <c r="B212" s="471" t="s">
        <v>2319</v>
      </c>
      <c r="C212" s="472" t="s">
        <v>292</v>
      </c>
      <c r="D212" s="428" t="s">
        <v>3276</v>
      </c>
      <c r="E212" s="475">
        <v>0.16</v>
      </c>
      <c r="F212" s="456">
        <v>0.16</v>
      </c>
      <c r="G212" s="427" t="s">
        <v>3328</v>
      </c>
      <c r="H212" s="427" t="s">
        <v>3480</v>
      </c>
      <c r="I212" s="456"/>
      <c r="J212" s="458" t="str">
        <f t="shared" si="16"/>
        <v/>
      </c>
      <c r="K212" s="473"/>
      <c r="L212" s="456">
        <v>0</v>
      </c>
      <c r="M212" s="467">
        <f t="shared" si="17"/>
        <v>0</v>
      </c>
      <c r="N212" s="456">
        <v>0.16</v>
      </c>
      <c r="O212" s="467">
        <f t="shared" si="18"/>
        <v>1</v>
      </c>
      <c r="P212" s="456">
        <v>0.16</v>
      </c>
      <c r="Q212" s="458">
        <f t="shared" si="19"/>
        <v>1</v>
      </c>
      <c r="R212" s="432" t="s">
        <v>1488</v>
      </c>
      <c r="S212" s="436">
        <v>2019</v>
      </c>
    </row>
    <row r="213" spans="1:19" ht="56.25">
      <c r="A213" s="457" t="s">
        <v>2320</v>
      </c>
      <c r="B213" s="471" t="s">
        <v>2321</v>
      </c>
      <c r="C213" s="472" t="s">
        <v>293</v>
      </c>
      <c r="D213" s="428" t="s">
        <v>3276</v>
      </c>
      <c r="E213" s="475">
        <v>0.4</v>
      </c>
      <c r="F213" s="456">
        <v>0.4</v>
      </c>
      <c r="G213" s="427" t="s">
        <v>2627</v>
      </c>
      <c r="H213" s="427" t="s">
        <v>3463</v>
      </c>
      <c r="I213" s="456"/>
      <c r="J213" s="458" t="str">
        <f t="shared" si="16"/>
        <v/>
      </c>
      <c r="K213" s="473"/>
      <c r="L213" s="456">
        <v>0</v>
      </c>
      <c r="M213" s="467">
        <f t="shared" si="17"/>
        <v>0</v>
      </c>
      <c r="N213" s="456">
        <v>0.4</v>
      </c>
      <c r="O213" s="467">
        <f t="shared" si="18"/>
        <v>1</v>
      </c>
      <c r="P213" s="456">
        <v>0.4</v>
      </c>
      <c r="Q213" s="458">
        <f t="shared" si="19"/>
        <v>1</v>
      </c>
      <c r="R213" s="432" t="s">
        <v>1488</v>
      </c>
      <c r="S213" s="436">
        <v>2019</v>
      </c>
    </row>
    <row r="214" spans="1:19" ht="56.25">
      <c r="A214" s="457" t="s">
        <v>2322</v>
      </c>
      <c r="B214" s="471" t="s">
        <v>2111</v>
      </c>
      <c r="C214" s="472" t="s">
        <v>295</v>
      </c>
      <c r="D214" s="428" t="s">
        <v>3276</v>
      </c>
      <c r="E214" s="475">
        <v>0.3</v>
      </c>
      <c r="F214" s="456">
        <v>0.3</v>
      </c>
      <c r="G214" s="427" t="s">
        <v>3491</v>
      </c>
      <c r="H214" s="427" t="s">
        <v>3477</v>
      </c>
      <c r="I214" s="456"/>
      <c r="J214" s="458" t="str">
        <f t="shared" si="16"/>
        <v/>
      </c>
      <c r="K214" s="473"/>
      <c r="L214" s="456">
        <v>0</v>
      </c>
      <c r="M214" s="467">
        <f t="shared" si="17"/>
        <v>0</v>
      </c>
      <c r="N214" s="456">
        <v>0.3</v>
      </c>
      <c r="O214" s="467">
        <f t="shared" si="18"/>
        <v>1</v>
      </c>
      <c r="P214" s="456">
        <v>0.3</v>
      </c>
      <c r="Q214" s="458">
        <f t="shared" si="19"/>
        <v>1</v>
      </c>
      <c r="R214" s="432" t="s">
        <v>1488</v>
      </c>
      <c r="S214" s="436">
        <v>2019</v>
      </c>
    </row>
    <row r="215" spans="1:19" ht="56.25">
      <c r="A215" s="457" t="s">
        <v>2323</v>
      </c>
      <c r="B215" s="471" t="s">
        <v>2137</v>
      </c>
      <c r="C215" s="472" t="s">
        <v>2324</v>
      </c>
      <c r="D215" s="428" t="s">
        <v>3276</v>
      </c>
      <c r="E215" s="475">
        <v>0.53</v>
      </c>
      <c r="F215" s="456">
        <v>0.53</v>
      </c>
      <c r="G215" s="427" t="s">
        <v>2643</v>
      </c>
      <c r="H215" s="427" t="s">
        <v>3489</v>
      </c>
      <c r="I215" s="456"/>
      <c r="J215" s="458" t="str">
        <f t="shared" si="16"/>
        <v/>
      </c>
      <c r="K215" s="473"/>
      <c r="L215" s="456">
        <v>0</v>
      </c>
      <c r="M215" s="467">
        <f t="shared" si="17"/>
        <v>0</v>
      </c>
      <c r="N215" s="456">
        <v>0.2</v>
      </c>
      <c r="O215" s="467">
        <f t="shared" si="18"/>
        <v>0.37735849056603776</v>
      </c>
      <c r="P215" s="456">
        <v>0.53</v>
      </c>
      <c r="Q215" s="458">
        <f t="shared" si="19"/>
        <v>1</v>
      </c>
      <c r="R215" s="432" t="s">
        <v>1488</v>
      </c>
      <c r="S215" s="436">
        <v>2019</v>
      </c>
    </row>
    <row r="216" spans="1:19" ht="56.25">
      <c r="A216" s="457" t="s">
        <v>2325</v>
      </c>
      <c r="B216" s="471" t="s">
        <v>2326</v>
      </c>
      <c r="C216" s="472" t="s">
        <v>297</v>
      </c>
      <c r="D216" s="428" t="s">
        <v>3276</v>
      </c>
      <c r="E216" s="475">
        <v>0.61</v>
      </c>
      <c r="F216" s="456">
        <v>0.61</v>
      </c>
      <c r="G216" s="427" t="s">
        <v>3492</v>
      </c>
      <c r="H216" s="427" t="s">
        <v>2636</v>
      </c>
      <c r="I216" s="456"/>
      <c r="J216" s="458" t="str">
        <f t="shared" si="16"/>
        <v/>
      </c>
      <c r="K216" s="473"/>
      <c r="L216" s="456">
        <v>0</v>
      </c>
      <c r="M216" s="467">
        <f t="shared" si="17"/>
        <v>0</v>
      </c>
      <c r="N216" s="456">
        <v>0.61</v>
      </c>
      <c r="O216" s="467">
        <f t="shared" si="18"/>
        <v>1</v>
      </c>
      <c r="P216" s="456">
        <v>0.61</v>
      </c>
      <c r="Q216" s="458">
        <f t="shared" si="19"/>
        <v>1</v>
      </c>
      <c r="R216" s="432" t="s">
        <v>1488</v>
      </c>
      <c r="S216" s="436">
        <v>2019</v>
      </c>
    </row>
    <row r="217" spans="1:19" ht="56.25">
      <c r="A217" s="457" t="s">
        <v>2327</v>
      </c>
      <c r="B217" s="471" t="s">
        <v>2069</v>
      </c>
      <c r="C217" s="472" t="s">
        <v>298</v>
      </c>
      <c r="D217" s="428" t="s">
        <v>3276</v>
      </c>
      <c r="E217" s="475">
        <v>0.3</v>
      </c>
      <c r="F217" s="456">
        <v>0.3</v>
      </c>
      <c r="G217" s="427" t="s">
        <v>3470</v>
      </c>
      <c r="H217" s="427" t="s">
        <v>3493</v>
      </c>
      <c r="I217" s="456"/>
      <c r="J217" s="458" t="str">
        <f t="shared" si="16"/>
        <v/>
      </c>
      <c r="K217" s="473"/>
      <c r="L217" s="456">
        <v>0</v>
      </c>
      <c r="M217" s="467">
        <f t="shared" si="17"/>
        <v>0</v>
      </c>
      <c r="N217" s="456">
        <v>0.3</v>
      </c>
      <c r="O217" s="467">
        <f t="shared" si="18"/>
        <v>1</v>
      </c>
      <c r="P217" s="456">
        <v>0.3</v>
      </c>
      <c r="Q217" s="458">
        <f t="shared" si="19"/>
        <v>1</v>
      </c>
      <c r="R217" s="432" t="s">
        <v>1488</v>
      </c>
      <c r="S217" s="436">
        <v>2019</v>
      </c>
    </row>
    <row r="218" spans="1:19" ht="56.25">
      <c r="A218" s="457" t="s">
        <v>2328</v>
      </c>
      <c r="B218" s="471" t="s">
        <v>2329</v>
      </c>
      <c r="C218" s="472" t="s">
        <v>299</v>
      </c>
      <c r="D218" s="428" t="s">
        <v>3276</v>
      </c>
      <c r="E218" s="456">
        <v>0.81</v>
      </c>
      <c r="F218" s="456">
        <v>0.81</v>
      </c>
      <c r="G218" s="427" t="s">
        <v>2627</v>
      </c>
      <c r="H218" s="427" t="s">
        <v>3480</v>
      </c>
      <c r="I218" s="456">
        <v>0.81</v>
      </c>
      <c r="J218" s="458">
        <f t="shared" si="16"/>
        <v>1</v>
      </c>
      <c r="K218" s="473">
        <v>43361</v>
      </c>
      <c r="L218" s="456"/>
      <c r="M218" s="467" t="str">
        <f t="shared" si="17"/>
        <v/>
      </c>
      <c r="N218" s="456">
        <v>0.81</v>
      </c>
      <c r="O218" s="467">
        <f t="shared" si="18"/>
        <v>1</v>
      </c>
      <c r="P218" s="456">
        <v>0.81</v>
      </c>
      <c r="Q218" s="458">
        <f t="shared" si="19"/>
        <v>1</v>
      </c>
      <c r="R218" s="432" t="s">
        <v>1488</v>
      </c>
      <c r="S218" s="436">
        <v>2019</v>
      </c>
    </row>
    <row r="219" spans="1:19" ht="56.25">
      <c r="A219" s="457" t="s">
        <v>2330</v>
      </c>
      <c r="B219" s="471" t="s">
        <v>2331</v>
      </c>
      <c r="C219" s="472" t="s">
        <v>300</v>
      </c>
      <c r="D219" s="428" t="s">
        <v>3276</v>
      </c>
      <c r="E219" s="456">
        <v>1.6</v>
      </c>
      <c r="F219" s="456">
        <v>1.6</v>
      </c>
      <c r="G219" s="427" t="s">
        <v>2645</v>
      </c>
      <c r="H219" s="427" t="s">
        <v>3469</v>
      </c>
      <c r="I219" s="456">
        <v>1.6</v>
      </c>
      <c r="J219" s="458">
        <f t="shared" si="16"/>
        <v>1</v>
      </c>
      <c r="K219" s="473">
        <v>43361</v>
      </c>
      <c r="L219" s="456"/>
      <c r="M219" s="467" t="str">
        <f t="shared" si="17"/>
        <v/>
      </c>
      <c r="N219" s="456">
        <v>1.6</v>
      </c>
      <c r="O219" s="467">
        <f t="shared" si="18"/>
        <v>1</v>
      </c>
      <c r="P219" s="456">
        <v>1.6</v>
      </c>
      <c r="Q219" s="458">
        <f t="shared" si="19"/>
        <v>1</v>
      </c>
      <c r="R219" s="432" t="s">
        <v>1488</v>
      </c>
      <c r="S219" s="436">
        <v>2019</v>
      </c>
    </row>
    <row r="220" spans="1:19" ht="56.25">
      <c r="A220" s="457" t="s">
        <v>2332</v>
      </c>
      <c r="B220" s="471" t="s">
        <v>2333</v>
      </c>
      <c r="C220" s="472" t="s">
        <v>301</v>
      </c>
      <c r="D220" s="428" t="s">
        <v>3276</v>
      </c>
      <c r="E220" s="456">
        <v>1.21</v>
      </c>
      <c r="F220" s="456">
        <v>1.21</v>
      </c>
      <c r="G220" s="427" t="s">
        <v>2627</v>
      </c>
      <c r="H220" s="427" t="s">
        <v>3477</v>
      </c>
      <c r="I220" s="456">
        <v>1.21</v>
      </c>
      <c r="J220" s="458">
        <f t="shared" si="16"/>
        <v>1</v>
      </c>
      <c r="K220" s="473">
        <v>43361</v>
      </c>
      <c r="L220" s="456"/>
      <c r="M220" s="467" t="str">
        <f t="shared" si="17"/>
        <v/>
      </c>
      <c r="N220" s="456">
        <v>1.21</v>
      </c>
      <c r="O220" s="467">
        <f t="shared" si="18"/>
        <v>1</v>
      </c>
      <c r="P220" s="456">
        <v>1.21</v>
      </c>
      <c r="Q220" s="458">
        <f t="shared" si="19"/>
        <v>1</v>
      </c>
      <c r="R220" s="432" t="s">
        <v>1488</v>
      </c>
      <c r="S220" s="436">
        <v>2019</v>
      </c>
    </row>
    <row r="221" spans="1:19" ht="56.25">
      <c r="A221" s="457" t="s">
        <v>2334</v>
      </c>
      <c r="B221" s="471" t="s">
        <v>2335</v>
      </c>
      <c r="C221" s="472" t="s">
        <v>302</v>
      </c>
      <c r="D221" s="428" t="s">
        <v>3276</v>
      </c>
      <c r="E221" s="456">
        <v>3.653</v>
      </c>
      <c r="F221" s="456">
        <v>3.653</v>
      </c>
      <c r="G221" s="427" t="s">
        <v>3480</v>
      </c>
      <c r="H221" s="427" t="s">
        <v>3479</v>
      </c>
      <c r="I221" s="456">
        <v>3.653</v>
      </c>
      <c r="J221" s="458">
        <f t="shared" si="16"/>
        <v>1</v>
      </c>
      <c r="K221" s="473">
        <v>43361</v>
      </c>
      <c r="L221" s="456"/>
      <c r="M221" s="467" t="str">
        <f t="shared" si="17"/>
        <v/>
      </c>
      <c r="N221" s="456">
        <v>3.653</v>
      </c>
      <c r="O221" s="467">
        <f t="shared" si="18"/>
        <v>1</v>
      </c>
      <c r="P221" s="456">
        <v>3.653</v>
      </c>
      <c r="Q221" s="458">
        <f t="shared" si="19"/>
        <v>1</v>
      </c>
      <c r="R221" s="432" t="s">
        <v>1488</v>
      </c>
      <c r="S221" s="436">
        <v>2019</v>
      </c>
    </row>
    <row r="222" spans="1:19" ht="56.25">
      <c r="A222" s="457" t="s">
        <v>2336</v>
      </c>
      <c r="B222" s="471" t="s">
        <v>2337</v>
      </c>
      <c r="C222" s="472" t="s">
        <v>303</v>
      </c>
      <c r="D222" s="428" t="s">
        <v>3276</v>
      </c>
      <c r="E222" s="456">
        <v>1.55</v>
      </c>
      <c r="F222" s="456">
        <v>1.55</v>
      </c>
      <c r="G222" s="427" t="s">
        <v>2674</v>
      </c>
      <c r="H222" s="427" t="s">
        <v>3484</v>
      </c>
      <c r="I222" s="456"/>
      <c r="J222" s="458" t="str">
        <f t="shared" si="16"/>
        <v/>
      </c>
      <c r="K222" s="473"/>
      <c r="L222" s="456">
        <v>0</v>
      </c>
      <c r="M222" s="467">
        <f t="shared" si="17"/>
        <v>0</v>
      </c>
      <c r="N222" s="456">
        <v>0</v>
      </c>
      <c r="O222" s="467">
        <f t="shared" si="18"/>
        <v>0</v>
      </c>
      <c r="P222" s="456">
        <v>1.55</v>
      </c>
      <c r="Q222" s="458">
        <f t="shared" si="19"/>
        <v>1</v>
      </c>
      <c r="R222" s="432" t="s">
        <v>1488</v>
      </c>
      <c r="S222" s="436">
        <v>2019</v>
      </c>
    </row>
    <row r="223" spans="1:19" ht="75">
      <c r="A223" s="457" t="s">
        <v>2338</v>
      </c>
      <c r="B223" s="471" t="s">
        <v>2339</v>
      </c>
      <c r="C223" s="472" t="s">
        <v>304</v>
      </c>
      <c r="D223" s="428" t="s">
        <v>3276</v>
      </c>
      <c r="E223" s="456">
        <v>1.8</v>
      </c>
      <c r="F223" s="456">
        <v>1.8</v>
      </c>
      <c r="G223" s="427" t="s">
        <v>2645</v>
      </c>
      <c r="H223" s="427" t="s">
        <v>3485</v>
      </c>
      <c r="I223" s="456"/>
      <c r="J223" s="458" t="str">
        <f t="shared" si="16"/>
        <v/>
      </c>
      <c r="K223" s="473"/>
      <c r="L223" s="456">
        <v>0</v>
      </c>
      <c r="M223" s="467">
        <f t="shared" si="17"/>
        <v>0</v>
      </c>
      <c r="N223" s="456">
        <v>0</v>
      </c>
      <c r="O223" s="467">
        <f t="shared" si="18"/>
        <v>0</v>
      </c>
      <c r="P223" s="456">
        <v>1.8</v>
      </c>
      <c r="Q223" s="458">
        <f t="shared" si="19"/>
        <v>1</v>
      </c>
      <c r="R223" s="432" t="s">
        <v>1488</v>
      </c>
      <c r="S223" s="436">
        <v>2019</v>
      </c>
    </row>
    <row r="224" spans="1:19" ht="56.25">
      <c r="A224" s="457" t="s">
        <v>2340</v>
      </c>
      <c r="B224" s="471" t="s">
        <v>2341</v>
      </c>
      <c r="C224" s="472" t="s">
        <v>305</v>
      </c>
      <c r="D224" s="428" t="s">
        <v>3276</v>
      </c>
      <c r="E224" s="456">
        <v>0.24</v>
      </c>
      <c r="F224" s="456">
        <v>0.24</v>
      </c>
      <c r="G224" s="427" t="s">
        <v>3486</v>
      </c>
      <c r="H224" s="427" t="s">
        <v>3487</v>
      </c>
      <c r="I224" s="456"/>
      <c r="J224" s="458" t="str">
        <f t="shared" si="16"/>
        <v/>
      </c>
      <c r="K224" s="473"/>
      <c r="L224" s="456">
        <v>0</v>
      </c>
      <c r="M224" s="467">
        <f t="shared" si="17"/>
        <v>0</v>
      </c>
      <c r="N224" s="456">
        <v>0</v>
      </c>
      <c r="O224" s="467">
        <f t="shared" si="18"/>
        <v>0</v>
      </c>
      <c r="P224" s="456">
        <v>0.24</v>
      </c>
      <c r="Q224" s="458">
        <f t="shared" si="19"/>
        <v>1</v>
      </c>
      <c r="R224" s="432" t="s">
        <v>1488</v>
      </c>
      <c r="S224" s="436">
        <v>2019</v>
      </c>
    </row>
    <row r="225" spans="1:19" ht="56.25">
      <c r="A225" s="457" t="s">
        <v>2342</v>
      </c>
      <c r="B225" s="471" t="s">
        <v>2343</v>
      </c>
      <c r="C225" s="472" t="s">
        <v>306</v>
      </c>
      <c r="D225" s="428" t="s">
        <v>3276</v>
      </c>
      <c r="E225" s="456">
        <v>2.6379999999999999</v>
      </c>
      <c r="F225" s="456">
        <v>2.6379999999999999</v>
      </c>
      <c r="G225" s="427" t="s">
        <v>2627</v>
      </c>
      <c r="H225" s="427" t="s">
        <v>3488</v>
      </c>
      <c r="I225" s="456">
        <v>1.89</v>
      </c>
      <c r="J225" s="458">
        <f t="shared" si="16"/>
        <v>0.71645185746777862</v>
      </c>
      <c r="K225" s="473">
        <v>43361</v>
      </c>
      <c r="L225" s="456"/>
      <c r="M225" s="467" t="str">
        <f t="shared" si="17"/>
        <v/>
      </c>
      <c r="N225" s="456">
        <v>2.6379999999999999</v>
      </c>
      <c r="O225" s="467">
        <f t="shared" si="18"/>
        <v>1</v>
      </c>
      <c r="P225" s="456">
        <v>2.6379999999999999</v>
      </c>
      <c r="Q225" s="458">
        <f t="shared" si="19"/>
        <v>1</v>
      </c>
      <c r="R225" s="432" t="s">
        <v>1488</v>
      </c>
      <c r="S225" s="436">
        <v>2019</v>
      </c>
    </row>
    <row r="226" spans="1:19" ht="56.25">
      <c r="A226" s="457" t="s">
        <v>2344</v>
      </c>
      <c r="B226" s="471" t="s">
        <v>2345</v>
      </c>
      <c r="C226" s="472" t="s">
        <v>307</v>
      </c>
      <c r="D226" s="428" t="s">
        <v>3276</v>
      </c>
      <c r="E226" s="456">
        <v>2.15</v>
      </c>
      <c r="F226" s="456">
        <v>2.15</v>
      </c>
      <c r="G226" s="427" t="s">
        <v>2627</v>
      </c>
      <c r="H226" s="427" t="s">
        <v>3489</v>
      </c>
      <c r="I226" s="456"/>
      <c r="J226" s="458" t="str">
        <f t="shared" si="16"/>
        <v/>
      </c>
      <c r="K226" s="473"/>
      <c r="L226" s="456">
        <v>0</v>
      </c>
      <c r="M226" s="467">
        <f t="shared" si="17"/>
        <v>0</v>
      </c>
      <c r="N226" s="456">
        <v>2.15</v>
      </c>
      <c r="O226" s="467">
        <f t="shared" si="18"/>
        <v>1</v>
      </c>
      <c r="P226" s="456">
        <v>2.15</v>
      </c>
      <c r="Q226" s="458">
        <f t="shared" si="19"/>
        <v>1</v>
      </c>
      <c r="R226" s="432" t="s">
        <v>1488</v>
      </c>
      <c r="S226" s="436">
        <v>2019</v>
      </c>
    </row>
    <row r="227" spans="1:19" ht="75">
      <c r="A227" s="457" t="s">
        <v>2346</v>
      </c>
      <c r="B227" s="471" t="s">
        <v>2347</v>
      </c>
      <c r="C227" s="472" t="s">
        <v>308</v>
      </c>
      <c r="D227" s="428" t="s">
        <v>3276</v>
      </c>
      <c r="E227" s="456">
        <v>0.42</v>
      </c>
      <c r="F227" s="456">
        <v>0.42</v>
      </c>
      <c r="G227" s="427" t="s">
        <v>2645</v>
      </c>
      <c r="H227" s="427" t="s">
        <v>3483</v>
      </c>
      <c r="I227" s="456">
        <v>0.42</v>
      </c>
      <c r="J227" s="458">
        <f t="shared" si="16"/>
        <v>1</v>
      </c>
      <c r="K227" s="473">
        <v>43361</v>
      </c>
      <c r="L227" s="456"/>
      <c r="M227" s="467" t="str">
        <f t="shared" si="17"/>
        <v/>
      </c>
      <c r="N227" s="456">
        <v>0.42</v>
      </c>
      <c r="O227" s="467">
        <f t="shared" si="18"/>
        <v>1</v>
      </c>
      <c r="P227" s="456">
        <v>0.42</v>
      </c>
      <c r="Q227" s="458">
        <f t="shared" si="19"/>
        <v>1</v>
      </c>
      <c r="R227" s="432" t="s">
        <v>1488</v>
      </c>
      <c r="S227" s="436">
        <v>2019</v>
      </c>
    </row>
    <row r="228" spans="1:19" ht="56.25">
      <c r="A228" s="457" t="s">
        <v>2348</v>
      </c>
      <c r="B228" s="471" t="s">
        <v>2349</v>
      </c>
      <c r="C228" s="472" t="s">
        <v>309</v>
      </c>
      <c r="D228" s="428" t="s">
        <v>3276</v>
      </c>
      <c r="E228" s="456">
        <v>0.54</v>
      </c>
      <c r="F228" s="456">
        <v>0.54</v>
      </c>
      <c r="G228" s="427" t="s">
        <v>2645</v>
      </c>
      <c r="H228" s="427" t="s">
        <v>2672</v>
      </c>
      <c r="I228" s="456"/>
      <c r="J228" s="458" t="str">
        <f t="shared" si="16"/>
        <v/>
      </c>
      <c r="K228" s="473"/>
      <c r="L228" s="456">
        <v>0</v>
      </c>
      <c r="M228" s="467">
        <f t="shared" si="17"/>
        <v>0</v>
      </c>
      <c r="N228" s="456">
        <v>0.54</v>
      </c>
      <c r="O228" s="467">
        <f t="shared" si="18"/>
        <v>1</v>
      </c>
      <c r="P228" s="456">
        <v>0.54</v>
      </c>
      <c r="Q228" s="458">
        <f t="shared" si="19"/>
        <v>1</v>
      </c>
      <c r="R228" s="432" t="s">
        <v>1488</v>
      </c>
      <c r="S228" s="436">
        <v>2019</v>
      </c>
    </row>
    <row r="229" spans="1:19" ht="56.25">
      <c r="A229" s="457" t="s">
        <v>2350</v>
      </c>
      <c r="B229" s="471" t="s">
        <v>2351</v>
      </c>
      <c r="C229" s="472" t="s">
        <v>310</v>
      </c>
      <c r="D229" s="428" t="s">
        <v>3276</v>
      </c>
      <c r="E229" s="456">
        <v>0.12</v>
      </c>
      <c r="F229" s="456">
        <v>0.12</v>
      </c>
      <c r="G229" s="427" t="s">
        <v>2645</v>
      </c>
      <c r="H229" s="427" t="s">
        <v>2646</v>
      </c>
      <c r="I229" s="456"/>
      <c r="J229" s="458" t="str">
        <f t="shared" si="16"/>
        <v/>
      </c>
      <c r="K229" s="473"/>
      <c r="L229" s="456">
        <v>0</v>
      </c>
      <c r="M229" s="467">
        <f t="shared" si="17"/>
        <v>0</v>
      </c>
      <c r="N229" s="456">
        <v>0.12</v>
      </c>
      <c r="O229" s="467">
        <f t="shared" si="18"/>
        <v>1</v>
      </c>
      <c r="P229" s="456">
        <v>0.12</v>
      </c>
      <c r="Q229" s="458">
        <f t="shared" si="19"/>
        <v>1</v>
      </c>
      <c r="R229" s="432" t="s">
        <v>1488</v>
      </c>
      <c r="S229" s="436">
        <v>2019</v>
      </c>
    </row>
    <row r="230" spans="1:19" ht="56.25">
      <c r="A230" s="457" t="s">
        <v>2352</v>
      </c>
      <c r="B230" s="471" t="s">
        <v>2353</v>
      </c>
      <c r="C230" s="472" t="s">
        <v>311</v>
      </c>
      <c r="D230" s="428" t="s">
        <v>3276</v>
      </c>
      <c r="E230" s="456">
        <v>0.38</v>
      </c>
      <c r="F230" s="456">
        <v>0.38</v>
      </c>
      <c r="G230" s="427" t="s">
        <v>2627</v>
      </c>
      <c r="H230" s="427" t="s">
        <v>3490</v>
      </c>
      <c r="I230" s="456"/>
      <c r="J230" s="458" t="str">
        <f t="shared" si="16"/>
        <v/>
      </c>
      <c r="K230" s="473"/>
      <c r="L230" s="456">
        <v>0</v>
      </c>
      <c r="M230" s="467">
        <f t="shared" si="17"/>
        <v>0</v>
      </c>
      <c r="N230" s="456">
        <v>0</v>
      </c>
      <c r="O230" s="467">
        <f t="shared" si="18"/>
        <v>0</v>
      </c>
      <c r="P230" s="456">
        <v>0.38</v>
      </c>
      <c r="Q230" s="458">
        <f t="shared" si="19"/>
        <v>1</v>
      </c>
      <c r="R230" s="432" t="s">
        <v>1488</v>
      </c>
      <c r="S230" s="436">
        <v>2019</v>
      </c>
    </row>
    <row r="231" spans="1:19" ht="56.25">
      <c r="A231" s="457" t="s">
        <v>2354</v>
      </c>
      <c r="B231" s="471" t="s">
        <v>2355</v>
      </c>
      <c r="C231" s="472" t="s">
        <v>312</v>
      </c>
      <c r="D231" s="428" t="s">
        <v>3276</v>
      </c>
      <c r="E231" s="456">
        <v>0.37</v>
      </c>
      <c r="F231" s="456">
        <v>0.37</v>
      </c>
      <c r="G231" s="427" t="s">
        <v>3328</v>
      </c>
      <c r="H231" s="427" t="s">
        <v>3480</v>
      </c>
      <c r="I231" s="456"/>
      <c r="J231" s="458" t="str">
        <f t="shared" si="16"/>
        <v/>
      </c>
      <c r="K231" s="473"/>
      <c r="L231" s="456">
        <v>0</v>
      </c>
      <c r="M231" s="467">
        <f t="shared" si="17"/>
        <v>0</v>
      </c>
      <c r="N231" s="456">
        <v>0.37</v>
      </c>
      <c r="O231" s="467">
        <f t="shared" si="18"/>
        <v>1</v>
      </c>
      <c r="P231" s="456">
        <v>0.37</v>
      </c>
      <c r="Q231" s="458">
        <f t="shared" si="19"/>
        <v>1</v>
      </c>
      <c r="R231" s="432" t="s">
        <v>1488</v>
      </c>
      <c r="S231" s="436">
        <v>2019</v>
      </c>
    </row>
    <row r="232" spans="1:19" ht="56.25">
      <c r="A232" s="457" t="s">
        <v>2356</v>
      </c>
      <c r="B232" s="471" t="s">
        <v>2357</v>
      </c>
      <c r="C232" s="472" t="s">
        <v>314</v>
      </c>
      <c r="D232" s="428" t="s">
        <v>3276</v>
      </c>
      <c r="E232" s="456">
        <v>0.42</v>
      </c>
      <c r="F232" s="456">
        <v>0.42</v>
      </c>
      <c r="G232" s="427" t="s">
        <v>2627</v>
      </c>
      <c r="H232" s="427" t="s">
        <v>3463</v>
      </c>
      <c r="I232" s="456"/>
      <c r="J232" s="458" t="str">
        <f t="shared" si="16"/>
        <v/>
      </c>
      <c r="K232" s="473"/>
      <c r="L232" s="456">
        <v>0</v>
      </c>
      <c r="M232" s="467">
        <f t="shared" si="17"/>
        <v>0</v>
      </c>
      <c r="N232" s="456">
        <v>0</v>
      </c>
      <c r="O232" s="467">
        <f t="shared" si="18"/>
        <v>0</v>
      </c>
      <c r="P232" s="456">
        <v>0.42</v>
      </c>
      <c r="Q232" s="458">
        <f t="shared" si="19"/>
        <v>1</v>
      </c>
      <c r="R232" s="432" t="s">
        <v>1488</v>
      </c>
      <c r="S232" s="436">
        <v>2019</v>
      </c>
    </row>
    <row r="233" spans="1:19" ht="56.25">
      <c r="A233" s="457" t="s">
        <v>2358</v>
      </c>
      <c r="B233" s="471" t="s">
        <v>2359</v>
      </c>
      <c r="C233" s="472" t="s">
        <v>315</v>
      </c>
      <c r="D233" s="428" t="s">
        <v>3276</v>
      </c>
      <c r="E233" s="456">
        <v>0.48</v>
      </c>
      <c r="F233" s="456">
        <v>0.48</v>
      </c>
      <c r="G233" s="427" t="s">
        <v>3491</v>
      </c>
      <c r="H233" s="427" t="s">
        <v>3477</v>
      </c>
      <c r="I233" s="456"/>
      <c r="J233" s="458" t="str">
        <f t="shared" si="16"/>
        <v/>
      </c>
      <c r="K233" s="473"/>
      <c r="L233" s="456">
        <v>0</v>
      </c>
      <c r="M233" s="467">
        <f t="shared" si="17"/>
        <v>0</v>
      </c>
      <c r="N233" s="456">
        <v>0.48</v>
      </c>
      <c r="O233" s="467">
        <f t="shared" si="18"/>
        <v>1</v>
      </c>
      <c r="P233" s="456">
        <v>0.48</v>
      </c>
      <c r="Q233" s="458">
        <f t="shared" si="19"/>
        <v>1</v>
      </c>
      <c r="R233" s="432" t="s">
        <v>1488</v>
      </c>
      <c r="S233" s="436">
        <v>2019</v>
      </c>
    </row>
    <row r="234" spans="1:19" ht="56.25">
      <c r="A234" s="457" t="s">
        <v>2360</v>
      </c>
      <c r="B234" s="471" t="s">
        <v>2361</v>
      </c>
      <c r="C234" s="472" t="s">
        <v>316</v>
      </c>
      <c r="D234" s="428" t="s">
        <v>3276</v>
      </c>
      <c r="E234" s="456">
        <v>0.37</v>
      </c>
      <c r="F234" s="456">
        <v>0.37</v>
      </c>
      <c r="G234" s="427" t="s">
        <v>2643</v>
      </c>
      <c r="H234" s="427" t="s">
        <v>3489</v>
      </c>
      <c r="I234" s="456"/>
      <c r="J234" s="458" t="str">
        <f t="shared" si="16"/>
        <v/>
      </c>
      <c r="K234" s="473"/>
      <c r="L234" s="456">
        <v>0</v>
      </c>
      <c r="M234" s="467">
        <f t="shared" si="17"/>
        <v>0</v>
      </c>
      <c r="N234" s="456">
        <v>0.2</v>
      </c>
      <c r="O234" s="467">
        <f t="shared" si="18"/>
        <v>0.54054054054054057</v>
      </c>
      <c r="P234" s="456">
        <v>0.37</v>
      </c>
      <c r="Q234" s="458">
        <f t="shared" si="19"/>
        <v>1</v>
      </c>
      <c r="R234" s="432" t="s">
        <v>1488</v>
      </c>
      <c r="S234" s="436">
        <v>2019</v>
      </c>
    </row>
    <row r="235" spans="1:19" ht="56.25">
      <c r="A235" s="457" t="s">
        <v>2362</v>
      </c>
      <c r="B235" s="471" t="s">
        <v>2363</v>
      </c>
      <c r="C235" s="472" t="s">
        <v>318</v>
      </c>
      <c r="D235" s="428" t="s">
        <v>3276</v>
      </c>
      <c r="E235" s="456">
        <v>0.85</v>
      </c>
      <c r="F235" s="456">
        <v>0.85</v>
      </c>
      <c r="G235" s="427" t="s">
        <v>3492</v>
      </c>
      <c r="H235" s="427" t="s">
        <v>2636</v>
      </c>
      <c r="I235" s="456"/>
      <c r="J235" s="458" t="str">
        <f t="shared" si="16"/>
        <v/>
      </c>
      <c r="K235" s="473"/>
      <c r="L235" s="456">
        <v>0</v>
      </c>
      <c r="M235" s="467">
        <f t="shared" si="17"/>
        <v>0</v>
      </c>
      <c r="N235" s="456">
        <v>0.85</v>
      </c>
      <c r="O235" s="467">
        <f t="shared" si="18"/>
        <v>1</v>
      </c>
      <c r="P235" s="456">
        <v>0.85</v>
      </c>
      <c r="Q235" s="458">
        <f t="shared" si="19"/>
        <v>1</v>
      </c>
      <c r="R235" s="432" t="s">
        <v>1488</v>
      </c>
      <c r="S235" s="436">
        <v>2019</v>
      </c>
    </row>
    <row r="236" spans="1:19" ht="56.25">
      <c r="A236" s="457" t="s">
        <v>2364</v>
      </c>
      <c r="B236" s="471" t="s">
        <v>2365</v>
      </c>
      <c r="C236" s="472" t="s">
        <v>319</v>
      </c>
      <c r="D236" s="428" t="s">
        <v>3276</v>
      </c>
      <c r="E236" s="456">
        <v>0.98</v>
      </c>
      <c r="F236" s="456">
        <v>0.98</v>
      </c>
      <c r="G236" s="427" t="s">
        <v>3470</v>
      </c>
      <c r="H236" s="427" t="s">
        <v>3493</v>
      </c>
      <c r="I236" s="456"/>
      <c r="J236" s="458" t="str">
        <f t="shared" si="16"/>
        <v/>
      </c>
      <c r="K236" s="473"/>
      <c r="L236" s="456">
        <v>0</v>
      </c>
      <c r="M236" s="467">
        <f t="shared" si="17"/>
        <v>0</v>
      </c>
      <c r="N236" s="456">
        <v>0</v>
      </c>
      <c r="O236" s="467">
        <f t="shared" si="18"/>
        <v>0</v>
      </c>
      <c r="P236" s="456">
        <v>0.98</v>
      </c>
      <c r="Q236" s="458">
        <f t="shared" si="19"/>
        <v>1</v>
      </c>
      <c r="R236" s="432" t="s">
        <v>1488</v>
      </c>
      <c r="S236" s="436">
        <v>2019</v>
      </c>
    </row>
    <row r="237" spans="1:19" ht="56.25">
      <c r="A237" s="457" t="s">
        <v>2366</v>
      </c>
      <c r="B237" s="471" t="s">
        <v>2367</v>
      </c>
      <c r="C237" s="472" t="s">
        <v>320</v>
      </c>
      <c r="D237" s="428" t="s">
        <v>3276</v>
      </c>
      <c r="E237" s="456">
        <v>0.2</v>
      </c>
      <c r="F237" s="456">
        <v>0.2</v>
      </c>
      <c r="G237" s="427" t="s">
        <v>2627</v>
      </c>
      <c r="H237" s="427" t="s">
        <v>3480</v>
      </c>
      <c r="I237" s="456"/>
      <c r="J237" s="458" t="str">
        <f t="shared" si="16"/>
        <v/>
      </c>
      <c r="K237" s="473"/>
      <c r="L237" s="456">
        <v>0</v>
      </c>
      <c r="M237" s="467">
        <f t="shared" si="17"/>
        <v>0</v>
      </c>
      <c r="N237" s="456">
        <v>0.2</v>
      </c>
      <c r="O237" s="467">
        <f t="shared" si="18"/>
        <v>1</v>
      </c>
      <c r="P237" s="456">
        <v>0.2</v>
      </c>
      <c r="Q237" s="458">
        <f t="shared" si="19"/>
        <v>1</v>
      </c>
      <c r="R237" s="432" t="s">
        <v>1488</v>
      </c>
      <c r="S237" s="436">
        <v>2019</v>
      </c>
    </row>
    <row r="238" spans="1:19" ht="56.25">
      <c r="A238" s="457" t="s">
        <v>2368</v>
      </c>
      <c r="B238" s="471" t="s">
        <v>2369</v>
      </c>
      <c r="C238" s="472" t="s">
        <v>321</v>
      </c>
      <c r="D238" s="428" t="s">
        <v>3276</v>
      </c>
      <c r="E238" s="456">
        <v>0.67</v>
      </c>
      <c r="F238" s="456">
        <v>0.67</v>
      </c>
      <c r="G238" s="427" t="s">
        <v>2645</v>
      </c>
      <c r="H238" s="427" t="s">
        <v>3469</v>
      </c>
      <c r="I238" s="456"/>
      <c r="J238" s="458" t="str">
        <f t="shared" ref="J238:J301" si="20">IF(I238="","",I238/F238)</f>
        <v/>
      </c>
      <c r="K238" s="473"/>
      <c r="L238" s="456">
        <v>0</v>
      </c>
      <c r="M238" s="467">
        <f t="shared" ref="M238:M301" si="21">IF(I238="",L238/F238,"")</f>
        <v>0</v>
      </c>
      <c r="N238" s="456">
        <v>0.67</v>
      </c>
      <c r="O238" s="467">
        <f t="shared" si="18"/>
        <v>1</v>
      </c>
      <c r="P238" s="456">
        <v>0.67</v>
      </c>
      <c r="Q238" s="458">
        <f t="shared" si="19"/>
        <v>1</v>
      </c>
      <c r="R238" s="432" t="s">
        <v>1488</v>
      </c>
      <c r="S238" s="436">
        <v>2019</v>
      </c>
    </row>
    <row r="239" spans="1:19" ht="56.25">
      <c r="A239" s="457" t="s">
        <v>2370</v>
      </c>
      <c r="B239" s="471" t="s">
        <v>2065</v>
      </c>
      <c r="C239" s="472" t="s">
        <v>322</v>
      </c>
      <c r="D239" s="428" t="s">
        <v>3276</v>
      </c>
      <c r="E239" s="456">
        <v>0.222</v>
      </c>
      <c r="F239" s="456">
        <v>0.222</v>
      </c>
      <c r="G239" s="427" t="s">
        <v>2627</v>
      </c>
      <c r="H239" s="427" t="s">
        <v>3477</v>
      </c>
      <c r="I239" s="456"/>
      <c r="J239" s="458" t="str">
        <f t="shared" si="20"/>
        <v/>
      </c>
      <c r="K239" s="473"/>
      <c r="L239" s="456">
        <v>0</v>
      </c>
      <c r="M239" s="467">
        <f t="shared" si="21"/>
        <v>0</v>
      </c>
      <c r="N239" s="456">
        <v>0</v>
      </c>
      <c r="O239" s="467">
        <f t="shared" si="18"/>
        <v>0</v>
      </c>
      <c r="P239" s="456">
        <v>0.222</v>
      </c>
      <c r="Q239" s="458">
        <f t="shared" si="19"/>
        <v>1</v>
      </c>
      <c r="R239" s="432" t="s">
        <v>1488</v>
      </c>
      <c r="S239" s="436">
        <v>2019</v>
      </c>
    </row>
    <row r="240" spans="1:19" ht="56.25">
      <c r="A240" s="457" t="s">
        <v>2371</v>
      </c>
      <c r="B240" s="471" t="s">
        <v>2372</v>
      </c>
      <c r="C240" s="472" t="s">
        <v>323</v>
      </c>
      <c r="D240" s="428" t="s">
        <v>3276</v>
      </c>
      <c r="E240" s="456">
        <v>0.7</v>
      </c>
      <c r="F240" s="456">
        <v>0.7</v>
      </c>
      <c r="G240" s="427" t="s">
        <v>3480</v>
      </c>
      <c r="H240" s="427" t="s">
        <v>3479</v>
      </c>
      <c r="I240" s="456"/>
      <c r="J240" s="458" t="str">
        <f t="shared" si="20"/>
        <v/>
      </c>
      <c r="K240" s="473"/>
      <c r="L240" s="456">
        <v>0</v>
      </c>
      <c r="M240" s="467">
        <f t="shared" si="21"/>
        <v>0</v>
      </c>
      <c r="N240" s="456">
        <v>0.69</v>
      </c>
      <c r="O240" s="467">
        <f t="shared" si="18"/>
        <v>0.98571428571428565</v>
      </c>
      <c r="P240" s="456">
        <v>0.7</v>
      </c>
      <c r="Q240" s="458">
        <f t="shared" si="19"/>
        <v>1</v>
      </c>
      <c r="R240" s="432" t="s">
        <v>1488</v>
      </c>
      <c r="S240" s="436">
        <v>2019</v>
      </c>
    </row>
    <row r="241" spans="1:19" ht="56.25">
      <c r="A241" s="457" t="s">
        <v>2373</v>
      </c>
      <c r="B241" s="471" t="s">
        <v>2374</v>
      </c>
      <c r="C241" s="472" t="s">
        <v>2375</v>
      </c>
      <c r="D241" s="428" t="s">
        <v>3276</v>
      </c>
      <c r="E241" s="456">
        <v>1.26</v>
      </c>
      <c r="F241" s="456">
        <v>1.26</v>
      </c>
      <c r="G241" s="427" t="s">
        <v>2674</v>
      </c>
      <c r="H241" s="427" t="s">
        <v>3484</v>
      </c>
      <c r="I241" s="456"/>
      <c r="J241" s="458" t="str">
        <f t="shared" si="20"/>
        <v/>
      </c>
      <c r="K241" s="473"/>
      <c r="L241" s="456">
        <v>0</v>
      </c>
      <c r="M241" s="467">
        <f t="shared" si="21"/>
        <v>0</v>
      </c>
      <c r="N241" s="456">
        <v>1.26</v>
      </c>
      <c r="O241" s="467">
        <f t="shared" si="18"/>
        <v>1</v>
      </c>
      <c r="P241" s="456">
        <v>1.26</v>
      </c>
      <c r="Q241" s="458">
        <f t="shared" si="19"/>
        <v>1</v>
      </c>
      <c r="R241" s="432" t="s">
        <v>1488</v>
      </c>
      <c r="S241" s="436">
        <v>2019</v>
      </c>
    </row>
    <row r="242" spans="1:19" ht="75">
      <c r="A242" s="457" t="s">
        <v>2376</v>
      </c>
      <c r="B242" s="471" t="s">
        <v>2055</v>
      </c>
      <c r="C242" s="472" t="s">
        <v>326</v>
      </c>
      <c r="D242" s="428" t="s">
        <v>3276</v>
      </c>
      <c r="E242" s="456">
        <v>0.76</v>
      </c>
      <c r="F242" s="456">
        <v>0.76</v>
      </c>
      <c r="G242" s="427" t="s">
        <v>2645</v>
      </c>
      <c r="H242" s="427" t="s">
        <v>3485</v>
      </c>
      <c r="I242" s="456"/>
      <c r="J242" s="458" t="str">
        <f t="shared" si="20"/>
        <v/>
      </c>
      <c r="K242" s="473"/>
      <c r="L242" s="456">
        <v>0</v>
      </c>
      <c r="M242" s="467">
        <f t="shared" si="21"/>
        <v>0</v>
      </c>
      <c r="N242" s="456">
        <v>0.35</v>
      </c>
      <c r="O242" s="467">
        <f t="shared" si="18"/>
        <v>0.46052631578947367</v>
      </c>
      <c r="P242" s="456">
        <v>0.76</v>
      </c>
      <c r="Q242" s="458">
        <f t="shared" si="19"/>
        <v>1</v>
      </c>
      <c r="R242" s="432" t="s">
        <v>1488</v>
      </c>
      <c r="S242" s="436">
        <v>2019</v>
      </c>
    </row>
    <row r="243" spans="1:19" ht="56.25">
      <c r="A243" s="457" t="s">
        <v>2377</v>
      </c>
      <c r="B243" s="471" t="s">
        <v>2378</v>
      </c>
      <c r="C243" s="472" t="s">
        <v>327</v>
      </c>
      <c r="D243" s="428" t="s">
        <v>3276</v>
      </c>
      <c r="E243" s="456">
        <v>1.05</v>
      </c>
      <c r="F243" s="456">
        <v>1.05</v>
      </c>
      <c r="G243" s="427" t="s">
        <v>3486</v>
      </c>
      <c r="H243" s="427" t="s">
        <v>3487</v>
      </c>
      <c r="I243" s="456"/>
      <c r="J243" s="458" t="str">
        <f t="shared" si="20"/>
        <v/>
      </c>
      <c r="K243" s="473"/>
      <c r="L243" s="456">
        <v>0</v>
      </c>
      <c r="M243" s="467">
        <f t="shared" si="21"/>
        <v>0</v>
      </c>
      <c r="N243" s="456">
        <v>0</v>
      </c>
      <c r="O243" s="467">
        <f t="shared" si="18"/>
        <v>0</v>
      </c>
      <c r="P243" s="456">
        <v>1.05</v>
      </c>
      <c r="Q243" s="458">
        <f t="shared" si="19"/>
        <v>1</v>
      </c>
      <c r="R243" s="432" t="s">
        <v>1488</v>
      </c>
      <c r="S243" s="436">
        <v>2019</v>
      </c>
    </row>
    <row r="244" spans="1:19" ht="56.25">
      <c r="A244" s="457" t="s">
        <v>2379</v>
      </c>
      <c r="B244" s="471" t="s">
        <v>2380</v>
      </c>
      <c r="C244" s="472" t="s">
        <v>328</v>
      </c>
      <c r="D244" s="428" t="s">
        <v>3276</v>
      </c>
      <c r="E244" s="456">
        <v>0.7</v>
      </c>
      <c r="F244" s="456">
        <v>0.7</v>
      </c>
      <c r="G244" s="427" t="s">
        <v>2627</v>
      </c>
      <c r="H244" s="427" t="s">
        <v>3488</v>
      </c>
      <c r="I244" s="456"/>
      <c r="J244" s="458" t="str">
        <f t="shared" si="20"/>
        <v/>
      </c>
      <c r="K244" s="473"/>
      <c r="L244" s="456">
        <v>0</v>
      </c>
      <c r="M244" s="467">
        <f t="shared" si="21"/>
        <v>0</v>
      </c>
      <c r="N244" s="456">
        <v>0</v>
      </c>
      <c r="O244" s="467">
        <f t="shared" si="18"/>
        <v>0</v>
      </c>
      <c r="P244" s="456">
        <v>0.7</v>
      </c>
      <c r="Q244" s="458">
        <f t="shared" si="19"/>
        <v>1</v>
      </c>
      <c r="R244" s="432" t="s">
        <v>1488</v>
      </c>
      <c r="S244" s="436">
        <v>2019</v>
      </c>
    </row>
    <row r="245" spans="1:19" ht="56.25">
      <c r="A245" s="457" t="s">
        <v>2381</v>
      </c>
      <c r="B245" s="471" t="s">
        <v>2382</v>
      </c>
      <c r="C245" s="472" t="s">
        <v>329</v>
      </c>
      <c r="D245" s="428" t="s">
        <v>3276</v>
      </c>
      <c r="E245" s="456">
        <v>4.0369999999999999</v>
      </c>
      <c r="F245" s="456">
        <v>4.0369999999999999</v>
      </c>
      <c r="G245" s="427" t="s">
        <v>2627</v>
      </c>
      <c r="H245" s="427" t="s">
        <v>3489</v>
      </c>
      <c r="I245" s="456"/>
      <c r="J245" s="458" t="str">
        <f t="shared" si="20"/>
        <v/>
      </c>
      <c r="K245" s="473"/>
      <c r="L245" s="456">
        <v>0</v>
      </c>
      <c r="M245" s="467">
        <f t="shared" si="21"/>
        <v>0</v>
      </c>
      <c r="N245" s="456">
        <v>4.0369999999999999</v>
      </c>
      <c r="O245" s="467">
        <f t="shared" si="18"/>
        <v>1</v>
      </c>
      <c r="P245" s="456">
        <v>4.0369999999999999</v>
      </c>
      <c r="Q245" s="458">
        <f t="shared" si="19"/>
        <v>1</v>
      </c>
      <c r="R245" s="432" t="s">
        <v>1488</v>
      </c>
      <c r="S245" s="436">
        <v>2019</v>
      </c>
    </row>
    <row r="246" spans="1:19" ht="56.25">
      <c r="A246" s="457" t="s">
        <v>2383</v>
      </c>
      <c r="B246" s="471" t="s">
        <v>2035</v>
      </c>
      <c r="C246" s="472" t="s">
        <v>330</v>
      </c>
      <c r="D246" s="428" t="s">
        <v>3276</v>
      </c>
      <c r="E246" s="456">
        <v>1.1000000000000001</v>
      </c>
      <c r="F246" s="456">
        <v>1.1000000000000001</v>
      </c>
      <c r="G246" s="427" t="s">
        <v>2645</v>
      </c>
      <c r="H246" s="427" t="s">
        <v>3483</v>
      </c>
      <c r="I246" s="456">
        <v>1.1000000000000001</v>
      </c>
      <c r="J246" s="458">
        <f t="shared" si="20"/>
        <v>1</v>
      </c>
      <c r="K246" s="473">
        <v>43361</v>
      </c>
      <c r="L246" s="456"/>
      <c r="M246" s="467" t="str">
        <f t="shared" si="21"/>
        <v/>
      </c>
      <c r="N246" s="456">
        <v>1.1000000000000001</v>
      </c>
      <c r="O246" s="467">
        <f t="shared" si="18"/>
        <v>1</v>
      </c>
      <c r="P246" s="456">
        <v>1.1000000000000001</v>
      </c>
      <c r="Q246" s="458">
        <f t="shared" si="19"/>
        <v>1</v>
      </c>
      <c r="R246" s="432" t="s">
        <v>1488</v>
      </c>
      <c r="S246" s="436">
        <v>2019</v>
      </c>
    </row>
    <row r="247" spans="1:19" ht="75">
      <c r="A247" s="457" t="s">
        <v>2384</v>
      </c>
      <c r="B247" s="471" t="s">
        <v>2035</v>
      </c>
      <c r="C247" s="472" t="s">
        <v>331</v>
      </c>
      <c r="D247" s="428" t="s">
        <v>3276</v>
      </c>
      <c r="E247" s="456">
        <v>0.52</v>
      </c>
      <c r="F247" s="456">
        <v>0.52</v>
      </c>
      <c r="G247" s="427" t="s">
        <v>2645</v>
      </c>
      <c r="H247" s="427" t="s">
        <v>2672</v>
      </c>
      <c r="I247" s="456">
        <v>0.52</v>
      </c>
      <c r="J247" s="458">
        <f t="shared" si="20"/>
        <v>1</v>
      </c>
      <c r="K247" s="473">
        <v>43361</v>
      </c>
      <c r="L247" s="456"/>
      <c r="M247" s="467" t="str">
        <f t="shared" si="21"/>
        <v/>
      </c>
      <c r="N247" s="456">
        <v>0.52</v>
      </c>
      <c r="O247" s="467">
        <f t="shared" ref="O247:O310" si="22">N247/F247</f>
        <v>1</v>
      </c>
      <c r="P247" s="456">
        <v>0.52</v>
      </c>
      <c r="Q247" s="458">
        <f t="shared" ref="Q247:Q310" si="23">P247/F247</f>
        <v>1</v>
      </c>
      <c r="R247" s="432" t="s">
        <v>1488</v>
      </c>
      <c r="S247" s="436">
        <v>2019</v>
      </c>
    </row>
    <row r="248" spans="1:19" ht="56.25">
      <c r="A248" s="457" t="s">
        <v>2385</v>
      </c>
      <c r="B248" s="471" t="s">
        <v>2386</v>
      </c>
      <c r="C248" s="472" t="s">
        <v>332</v>
      </c>
      <c r="D248" s="428" t="s">
        <v>3276</v>
      </c>
      <c r="E248" s="456">
        <v>7.04</v>
      </c>
      <c r="F248" s="456">
        <v>7.04</v>
      </c>
      <c r="G248" s="427" t="s">
        <v>2645</v>
      </c>
      <c r="H248" s="427" t="s">
        <v>2646</v>
      </c>
      <c r="I248" s="456">
        <v>4.9400000000000004</v>
      </c>
      <c r="J248" s="458">
        <f t="shared" si="20"/>
        <v>0.70170454545454553</v>
      </c>
      <c r="K248" s="473">
        <v>43361</v>
      </c>
      <c r="L248" s="456"/>
      <c r="M248" s="467" t="str">
        <f t="shared" si="21"/>
        <v/>
      </c>
      <c r="N248" s="456">
        <v>4.9400000000000004</v>
      </c>
      <c r="O248" s="467">
        <f t="shared" si="22"/>
        <v>0.70170454545454553</v>
      </c>
      <c r="P248" s="456">
        <v>7.0400000000000009</v>
      </c>
      <c r="Q248" s="458">
        <f t="shared" si="23"/>
        <v>1.0000000000000002</v>
      </c>
      <c r="R248" s="432" t="s">
        <v>1488</v>
      </c>
      <c r="S248" s="436">
        <v>2019</v>
      </c>
    </row>
    <row r="249" spans="1:19" ht="56.25">
      <c r="A249" s="457" t="s">
        <v>2387</v>
      </c>
      <c r="B249" s="471" t="s">
        <v>2388</v>
      </c>
      <c r="C249" s="472" t="s">
        <v>333</v>
      </c>
      <c r="D249" s="428" t="s">
        <v>3276</v>
      </c>
      <c r="E249" s="456">
        <v>1.44</v>
      </c>
      <c r="F249" s="456">
        <v>1.44</v>
      </c>
      <c r="G249" s="427" t="s">
        <v>2627</v>
      </c>
      <c r="H249" s="427" t="s">
        <v>3490</v>
      </c>
      <c r="I249" s="456">
        <v>0.48</v>
      </c>
      <c r="J249" s="458">
        <f t="shared" si="20"/>
        <v>0.33333333333333331</v>
      </c>
      <c r="K249" s="473">
        <v>43361</v>
      </c>
      <c r="L249" s="456"/>
      <c r="M249" s="467" t="str">
        <f t="shared" si="21"/>
        <v/>
      </c>
      <c r="N249" s="456">
        <v>0.48</v>
      </c>
      <c r="O249" s="467">
        <f t="shared" si="22"/>
        <v>0.33333333333333331</v>
      </c>
      <c r="P249" s="456">
        <v>1.44</v>
      </c>
      <c r="Q249" s="458">
        <f t="shared" si="23"/>
        <v>1</v>
      </c>
      <c r="R249" s="432" t="s">
        <v>1488</v>
      </c>
      <c r="S249" s="436">
        <v>2019</v>
      </c>
    </row>
    <row r="250" spans="1:19" ht="131.25">
      <c r="A250" s="457" t="s">
        <v>2389</v>
      </c>
      <c r="B250" s="471" t="s">
        <v>2086</v>
      </c>
      <c r="C250" s="472" t="s">
        <v>334</v>
      </c>
      <c r="D250" s="428" t="s">
        <v>3276</v>
      </c>
      <c r="E250" s="456">
        <v>1.34</v>
      </c>
      <c r="F250" s="456">
        <v>1.34</v>
      </c>
      <c r="G250" s="427" t="s">
        <v>3328</v>
      </c>
      <c r="H250" s="427" t="s">
        <v>3480</v>
      </c>
      <c r="I250" s="456"/>
      <c r="J250" s="458" t="str">
        <f t="shared" si="20"/>
        <v/>
      </c>
      <c r="K250" s="473"/>
      <c r="L250" s="456">
        <v>0</v>
      </c>
      <c r="M250" s="467">
        <f t="shared" si="21"/>
        <v>0</v>
      </c>
      <c r="N250" s="456">
        <v>0.36</v>
      </c>
      <c r="O250" s="467">
        <f t="shared" si="22"/>
        <v>0.26865671641791045</v>
      </c>
      <c r="P250" s="456">
        <v>1.34</v>
      </c>
      <c r="Q250" s="458">
        <f t="shared" si="23"/>
        <v>1</v>
      </c>
      <c r="R250" s="432" t="s">
        <v>1488</v>
      </c>
      <c r="S250" s="436">
        <v>2019</v>
      </c>
    </row>
    <row r="251" spans="1:19" ht="56.25">
      <c r="A251" s="457" t="s">
        <v>2390</v>
      </c>
      <c r="B251" s="471" t="s">
        <v>2391</v>
      </c>
      <c r="C251" s="472" t="s">
        <v>335</v>
      </c>
      <c r="D251" s="428" t="s">
        <v>3276</v>
      </c>
      <c r="E251" s="456">
        <v>1.24</v>
      </c>
      <c r="F251" s="456">
        <v>1.24</v>
      </c>
      <c r="G251" s="427" t="s">
        <v>2627</v>
      </c>
      <c r="H251" s="427" t="s">
        <v>3463</v>
      </c>
      <c r="I251" s="456">
        <v>1.24</v>
      </c>
      <c r="J251" s="458">
        <f t="shared" si="20"/>
        <v>1</v>
      </c>
      <c r="K251" s="473">
        <v>43361</v>
      </c>
      <c r="L251" s="456"/>
      <c r="M251" s="467" t="str">
        <f t="shared" si="21"/>
        <v/>
      </c>
      <c r="N251" s="456">
        <v>1.24</v>
      </c>
      <c r="O251" s="467">
        <f t="shared" si="22"/>
        <v>1</v>
      </c>
      <c r="P251" s="456">
        <v>1.24</v>
      </c>
      <c r="Q251" s="458">
        <f t="shared" si="23"/>
        <v>1</v>
      </c>
      <c r="R251" s="432" t="s">
        <v>1488</v>
      </c>
      <c r="S251" s="436">
        <v>2019</v>
      </c>
    </row>
    <row r="252" spans="1:19" ht="56.25">
      <c r="A252" s="457" t="s">
        <v>2392</v>
      </c>
      <c r="B252" s="471" t="s">
        <v>2393</v>
      </c>
      <c r="C252" s="472" t="s">
        <v>336</v>
      </c>
      <c r="D252" s="428" t="s">
        <v>3276</v>
      </c>
      <c r="E252" s="456">
        <v>0.5</v>
      </c>
      <c r="F252" s="456">
        <v>0.5</v>
      </c>
      <c r="G252" s="427" t="s">
        <v>3491</v>
      </c>
      <c r="H252" s="427" t="s">
        <v>3477</v>
      </c>
      <c r="I252" s="456"/>
      <c r="J252" s="458" t="str">
        <f t="shared" si="20"/>
        <v/>
      </c>
      <c r="K252" s="473"/>
      <c r="L252" s="456">
        <v>0</v>
      </c>
      <c r="M252" s="467">
        <f t="shared" si="21"/>
        <v>0</v>
      </c>
      <c r="N252" s="456">
        <v>0.5</v>
      </c>
      <c r="O252" s="467">
        <f t="shared" si="22"/>
        <v>1</v>
      </c>
      <c r="P252" s="456">
        <v>0.5</v>
      </c>
      <c r="Q252" s="458">
        <f t="shared" si="23"/>
        <v>1</v>
      </c>
      <c r="R252" s="432" t="s">
        <v>1488</v>
      </c>
      <c r="S252" s="436">
        <v>2019</v>
      </c>
    </row>
    <row r="253" spans="1:19" ht="56.25">
      <c r="A253" s="457" t="s">
        <v>2394</v>
      </c>
      <c r="B253" s="471" t="s">
        <v>2395</v>
      </c>
      <c r="C253" s="472" t="s">
        <v>337</v>
      </c>
      <c r="D253" s="428" t="s">
        <v>3276</v>
      </c>
      <c r="E253" s="456">
        <v>0.26</v>
      </c>
      <c r="F253" s="456">
        <v>0.26</v>
      </c>
      <c r="G253" s="427" t="s">
        <v>2643</v>
      </c>
      <c r="H253" s="427" t="s">
        <v>3489</v>
      </c>
      <c r="I253" s="456"/>
      <c r="J253" s="458" t="str">
        <f t="shared" si="20"/>
        <v/>
      </c>
      <c r="K253" s="473"/>
      <c r="L253" s="456">
        <v>0</v>
      </c>
      <c r="M253" s="467">
        <f t="shared" si="21"/>
        <v>0</v>
      </c>
      <c r="N253" s="456">
        <v>0.26</v>
      </c>
      <c r="O253" s="467">
        <f t="shared" si="22"/>
        <v>1</v>
      </c>
      <c r="P253" s="456">
        <v>0.26</v>
      </c>
      <c r="Q253" s="458">
        <f t="shared" si="23"/>
        <v>1</v>
      </c>
      <c r="R253" s="432" t="s">
        <v>1488</v>
      </c>
      <c r="S253" s="436">
        <v>2019</v>
      </c>
    </row>
    <row r="254" spans="1:19" ht="56.25">
      <c r="A254" s="457" t="s">
        <v>2396</v>
      </c>
      <c r="B254" s="471" t="s">
        <v>2221</v>
      </c>
      <c r="C254" s="472" t="s">
        <v>338</v>
      </c>
      <c r="D254" s="428" t="s">
        <v>3276</v>
      </c>
      <c r="E254" s="456">
        <v>0.7</v>
      </c>
      <c r="F254" s="456">
        <v>0.7</v>
      </c>
      <c r="G254" s="427" t="s">
        <v>3492</v>
      </c>
      <c r="H254" s="427" t="s">
        <v>2636</v>
      </c>
      <c r="I254" s="456"/>
      <c r="J254" s="458" t="str">
        <f t="shared" si="20"/>
        <v/>
      </c>
      <c r="K254" s="473"/>
      <c r="L254" s="456">
        <v>0</v>
      </c>
      <c r="M254" s="467">
        <f t="shared" si="21"/>
        <v>0</v>
      </c>
      <c r="N254" s="456">
        <v>0</v>
      </c>
      <c r="O254" s="467">
        <f t="shared" si="22"/>
        <v>0</v>
      </c>
      <c r="P254" s="456">
        <v>0.7</v>
      </c>
      <c r="Q254" s="458">
        <f t="shared" si="23"/>
        <v>1</v>
      </c>
      <c r="R254" s="432" t="s">
        <v>1488</v>
      </c>
      <c r="S254" s="436">
        <v>2019</v>
      </c>
    </row>
    <row r="255" spans="1:19" ht="56.25">
      <c r="A255" s="457" t="s">
        <v>2397</v>
      </c>
      <c r="B255" s="471" t="s">
        <v>2398</v>
      </c>
      <c r="C255" s="472" t="s">
        <v>339</v>
      </c>
      <c r="D255" s="428" t="s">
        <v>3276</v>
      </c>
      <c r="E255" s="456">
        <v>0.43099999999999999</v>
      </c>
      <c r="F255" s="456">
        <v>0.43099999999999999</v>
      </c>
      <c r="G255" s="427" t="s">
        <v>3470</v>
      </c>
      <c r="H255" s="427" t="s">
        <v>3493</v>
      </c>
      <c r="I255" s="456"/>
      <c r="J255" s="458" t="str">
        <f t="shared" si="20"/>
        <v/>
      </c>
      <c r="K255" s="473"/>
      <c r="L255" s="456">
        <v>0</v>
      </c>
      <c r="M255" s="467">
        <f t="shared" si="21"/>
        <v>0</v>
      </c>
      <c r="N255" s="456">
        <v>0.4</v>
      </c>
      <c r="O255" s="467">
        <f t="shared" si="22"/>
        <v>0.92807424593967525</v>
      </c>
      <c r="P255" s="456">
        <v>0.43099999999999999</v>
      </c>
      <c r="Q255" s="458">
        <f t="shared" si="23"/>
        <v>1</v>
      </c>
      <c r="R255" s="432" t="s">
        <v>1488</v>
      </c>
      <c r="S255" s="436">
        <v>2019</v>
      </c>
    </row>
    <row r="256" spans="1:19" ht="56.25">
      <c r="A256" s="457" t="s">
        <v>2399</v>
      </c>
      <c r="B256" s="471" t="s">
        <v>2400</v>
      </c>
      <c r="C256" s="472" t="s">
        <v>340</v>
      </c>
      <c r="D256" s="428" t="s">
        <v>3276</v>
      </c>
      <c r="E256" s="456">
        <v>0.16</v>
      </c>
      <c r="F256" s="456">
        <v>0.16</v>
      </c>
      <c r="G256" s="427" t="s">
        <v>2627</v>
      </c>
      <c r="H256" s="427" t="s">
        <v>3480</v>
      </c>
      <c r="I256" s="456"/>
      <c r="J256" s="458" t="str">
        <f t="shared" si="20"/>
        <v/>
      </c>
      <c r="K256" s="473"/>
      <c r="L256" s="456">
        <v>0</v>
      </c>
      <c r="M256" s="467">
        <f t="shared" si="21"/>
        <v>0</v>
      </c>
      <c r="N256" s="456">
        <v>0</v>
      </c>
      <c r="O256" s="467">
        <f t="shared" si="22"/>
        <v>0</v>
      </c>
      <c r="P256" s="456">
        <v>0.16</v>
      </c>
      <c r="Q256" s="458">
        <f t="shared" si="23"/>
        <v>1</v>
      </c>
      <c r="R256" s="432" t="s">
        <v>1488</v>
      </c>
      <c r="S256" s="436">
        <v>2019</v>
      </c>
    </row>
    <row r="257" spans="1:19" ht="56.25">
      <c r="A257" s="457" t="s">
        <v>2401</v>
      </c>
      <c r="B257" s="471" t="s">
        <v>3273</v>
      </c>
      <c r="C257" s="472" t="s">
        <v>341</v>
      </c>
      <c r="D257" s="428" t="s">
        <v>3276</v>
      </c>
      <c r="E257" s="456">
        <v>0.99</v>
      </c>
      <c r="F257" s="456">
        <v>0.99</v>
      </c>
      <c r="G257" s="427" t="s">
        <v>3456</v>
      </c>
      <c r="H257" s="427" t="s">
        <v>3329</v>
      </c>
      <c r="I257" s="456"/>
      <c r="J257" s="458"/>
      <c r="K257" s="473"/>
      <c r="L257" s="456">
        <v>0</v>
      </c>
      <c r="M257" s="467">
        <f t="shared" si="21"/>
        <v>0</v>
      </c>
      <c r="N257" s="456">
        <v>0.74</v>
      </c>
      <c r="O257" s="467">
        <f t="shared" si="22"/>
        <v>0.74747474747474751</v>
      </c>
      <c r="P257" s="456">
        <v>0.99</v>
      </c>
      <c r="Q257" s="458">
        <f t="shared" si="23"/>
        <v>1</v>
      </c>
      <c r="R257" s="432" t="s">
        <v>1488</v>
      </c>
      <c r="S257" s="436">
        <v>2019</v>
      </c>
    </row>
    <row r="258" spans="1:19" ht="56.25">
      <c r="A258" s="457" t="s">
        <v>2402</v>
      </c>
      <c r="B258" s="471" t="s">
        <v>2403</v>
      </c>
      <c r="C258" s="472" t="s">
        <v>342</v>
      </c>
      <c r="D258" s="428" t="s">
        <v>3276</v>
      </c>
      <c r="E258" s="456">
        <v>0.79</v>
      </c>
      <c r="F258" s="456">
        <v>0.79</v>
      </c>
      <c r="G258" s="427" t="s">
        <v>3457</v>
      </c>
      <c r="H258" s="427" t="s">
        <v>3341</v>
      </c>
      <c r="I258" s="456">
        <v>0.79</v>
      </c>
      <c r="J258" s="458">
        <f t="shared" si="20"/>
        <v>1</v>
      </c>
      <c r="K258" s="473">
        <v>43361</v>
      </c>
      <c r="L258" s="456"/>
      <c r="M258" s="467" t="str">
        <f t="shared" si="21"/>
        <v/>
      </c>
      <c r="N258" s="456">
        <v>0.79</v>
      </c>
      <c r="O258" s="467">
        <f t="shared" si="22"/>
        <v>1</v>
      </c>
      <c r="P258" s="456">
        <v>0.79</v>
      </c>
      <c r="Q258" s="458">
        <f t="shared" si="23"/>
        <v>1</v>
      </c>
      <c r="R258" s="432" t="s">
        <v>1488</v>
      </c>
      <c r="S258" s="436">
        <v>2019</v>
      </c>
    </row>
    <row r="259" spans="1:19" ht="75">
      <c r="A259" s="457" t="s">
        <v>2404</v>
      </c>
      <c r="B259" s="471" t="s">
        <v>2405</v>
      </c>
      <c r="C259" s="472" t="s">
        <v>343</v>
      </c>
      <c r="D259" s="428" t="s">
        <v>3276</v>
      </c>
      <c r="E259" s="456">
        <v>0.51</v>
      </c>
      <c r="F259" s="456">
        <v>0.51</v>
      </c>
      <c r="G259" s="427" t="s">
        <v>3313</v>
      </c>
      <c r="H259" s="427" t="s">
        <v>3348</v>
      </c>
      <c r="I259" s="456"/>
      <c r="J259" s="458" t="str">
        <f t="shared" si="20"/>
        <v/>
      </c>
      <c r="K259" s="473"/>
      <c r="L259" s="456">
        <v>0</v>
      </c>
      <c r="M259" s="467">
        <f t="shared" si="21"/>
        <v>0</v>
      </c>
      <c r="N259" s="456">
        <v>0.51</v>
      </c>
      <c r="O259" s="467">
        <f t="shared" si="22"/>
        <v>1</v>
      </c>
      <c r="P259" s="456">
        <v>0.51</v>
      </c>
      <c r="Q259" s="458">
        <f t="shared" si="23"/>
        <v>1</v>
      </c>
      <c r="R259" s="432" t="s">
        <v>1488</v>
      </c>
      <c r="S259" s="436">
        <v>2019</v>
      </c>
    </row>
    <row r="260" spans="1:19" ht="56.25">
      <c r="A260" s="457" t="s">
        <v>2406</v>
      </c>
      <c r="B260" s="471" t="s">
        <v>2172</v>
      </c>
      <c r="C260" s="472" t="s">
        <v>344</v>
      </c>
      <c r="D260" s="428" t="s">
        <v>3276</v>
      </c>
      <c r="E260" s="456">
        <v>0.9</v>
      </c>
      <c r="F260" s="456">
        <v>0.9</v>
      </c>
      <c r="G260" s="427" t="s">
        <v>3360</v>
      </c>
      <c r="H260" s="427" t="s">
        <v>3458</v>
      </c>
      <c r="I260" s="456"/>
      <c r="J260" s="458" t="str">
        <f t="shared" si="20"/>
        <v/>
      </c>
      <c r="K260" s="473"/>
      <c r="L260" s="456">
        <v>0</v>
      </c>
      <c r="M260" s="467">
        <f t="shared" si="21"/>
        <v>0</v>
      </c>
      <c r="N260" s="456">
        <v>0.12</v>
      </c>
      <c r="O260" s="467">
        <f t="shared" si="22"/>
        <v>0.13333333333333333</v>
      </c>
      <c r="P260" s="456">
        <v>0.9</v>
      </c>
      <c r="Q260" s="458">
        <f t="shared" si="23"/>
        <v>1</v>
      </c>
      <c r="R260" s="432" t="s">
        <v>1488</v>
      </c>
      <c r="S260" s="436">
        <v>2019</v>
      </c>
    </row>
    <row r="261" spans="1:19" ht="56.25">
      <c r="A261" s="457" t="s">
        <v>2407</v>
      </c>
      <c r="B261" s="471" t="s">
        <v>2408</v>
      </c>
      <c r="C261" s="472" t="s">
        <v>345</v>
      </c>
      <c r="D261" s="428" t="s">
        <v>3276</v>
      </c>
      <c r="E261" s="456">
        <v>0.23</v>
      </c>
      <c r="F261" s="456">
        <v>0.23</v>
      </c>
      <c r="G261" s="427" t="s">
        <v>3326</v>
      </c>
      <c r="H261" s="427" t="s">
        <v>3459</v>
      </c>
      <c r="I261" s="456"/>
      <c r="J261" s="458" t="str">
        <f t="shared" si="20"/>
        <v/>
      </c>
      <c r="K261" s="473"/>
      <c r="L261" s="456">
        <v>0</v>
      </c>
      <c r="M261" s="467">
        <f t="shared" si="21"/>
        <v>0</v>
      </c>
      <c r="N261" s="456">
        <v>0</v>
      </c>
      <c r="O261" s="467">
        <f t="shared" si="22"/>
        <v>0</v>
      </c>
      <c r="P261" s="456">
        <v>0.23</v>
      </c>
      <c r="Q261" s="458">
        <f t="shared" si="23"/>
        <v>1</v>
      </c>
      <c r="R261" s="432" t="s">
        <v>1488</v>
      </c>
      <c r="S261" s="436">
        <v>2019</v>
      </c>
    </row>
    <row r="262" spans="1:19" ht="56.25">
      <c r="A262" s="457" t="s">
        <v>2409</v>
      </c>
      <c r="B262" s="471" t="s">
        <v>2410</v>
      </c>
      <c r="C262" s="472" t="s">
        <v>346</v>
      </c>
      <c r="D262" s="428" t="s">
        <v>3276</v>
      </c>
      <c r="E262" s="456">
        <v>0.39</v>
      </c>
      <c r="F262" s="456">
        <v>0.39</v>
      </c>
      <c r="G262" s="427" t="s">
        <v>3460</v>
      </c>
      <c r="H262" s="427" t="s">
        <v>3461</v>
      </c>
      <c r="I262" s="456">
        <v>0.39</v>
      </c>
      <c r="J262" s="458">
        <f t="shared" si="20"/>
        <v>1</v>
      </c>
      <c r="K262" s="473">
        <v>43361</v>
      </c>
      <c r="L262" s="456"/>
      <c r="M262" s="467" t="str">
        <f t="shared" si="21"/>
        <v/>
      </c>
      <c r="N262" s="456">
        <v>0.39</v>
      </c>
      <c r="O262" s="467">
        <f t="shared" si="22"/>
        <v>1</v>
      </c>
      <c r="P262" s="456">
        <v>0.39</v>
      </c>
      <c r="Q262" s="458">
        <f t="shared" si="23"/>
        <v>1</v>
      </c>
      <c r="R262" s="432" t="s">
        <v>1488</v>
      </c>
      <c r="S262" s="436">
        <v>2019</v>
      </c>
    </row>
    <row r="263" spans="1:19" ht="56.25">
      <c r="A263" s="457" t="s">
        <v>2411</v>
      </c>
      <c r="B263" s="471" t="s">
        <v>2412</v>
      </c>
      <c r="C263" s="472" t="s">
        <v>347</v>
      </c>
      <c r="D263" s="428" t="s">
        <v>3276</v>
      </c>
      <c r="E263" s="456">
        <v>0.78</v>
      </c>
      <c r="F263" s="456">
        <v>0.78</v>
      </c>
      <c r="G263" s="427" t="s">
        <v>3422</v>
      </c>
      <c r="H263" s="427" t="s">
        <v>3329</v>
      </c>
      <c r="I263" s="456"/>
      <c r="J263" s="458" t="str">
        <f t="shared" si="20"/>
        <v/>
      </c>
      <c r="K263" s="473"/>
      <c r="L263" s="456">
        <v>0</v>
      </c>
      <c r="M263" s="467">
        <f t="shared" si="21"/>
        <v>0</v>
      </c>
      <c r="N263" s="456">
        <v>0.78</v>
      </c>
      <c r="O263" s="467">
        <f t="shared" si="22"/>
        <v>1</v>
      </c>
      <c r="P263" s="456">
        <v>0.78</v>
      </c>
      <c r="Q263" s="458">
        <f t="shared" si="23"/>
        <v>1</v>
      </c>
      <c r="R263" s="432" t="s">
        <v>1488</v>
      </c>
      <c r="S263" s="436">
        <v>2019</v>
      </c>
    </row>
    <row r="264" spans="1:19" ht="56.25">
      <c r="A264" s="457" t="s">
        <v>2413</v>
      </c>
      <c r="B264" s="471" t="s">
        <v>2299</v>
      </c>
      <c r="C264" s="472" t="s">
        <v>348</v>
      </c>
      <c r="D264" s="428" t="s">
        <v>3276</v>
      </c>
      <c r="E264" s="456">
        <v>0.4</v>
      </c>
      <c r="F264" s="456">
        <v>0.4</v>
      </c>
      <c r="G264" s="427" t="s">
        <v>3326</v>
      </c>
      <c r="H264" s="427" t="s">
        <v>3365</v>
      </c>
      <c r="I264" s="456"/>
      <c r="J264" s="458" t="str">
        <f t="shared" si="20"/>
        <v/>
      </c>
      <c r="K264" s="473"/>
      <c r="L264" s="456">
        <v>0</v>
      </c>
      <c r="M264" s="467">
        <f t="shared" si="21"/>
        <v>0</v>
      </c>
      <c r="N264" s="456">
        <v>0.35</v>
      </c>
      <c r="O264" s="467">
        <f t="shared" si="22"/>
        <v>0.87499999999999989</v>
      </c>
      <c r="P264" s="456">
        <v>0.4</v>
      </c>
      <c r="Q264" s="458">
        <f t="shared" si="23"/>
        <v>1</v>
      </c>
      <c r="R264" s="432" t="s">
        <v>1488</v>
      </c>
      <c r="S264" s="436">
        <v>2019</v>
      </c>
    </row>
    <row r="265" spans="1:19" ht="56.25">
      <c r="A265" s="457" t="s">
        <v>2414</v>
      </c>
      <c r="B265" s="471" t="s">
        <v>2415</v>
      </c>
      <c r="C265" s="472" t="s">
        <v>349</v>
      </c>
      <c r="D265" s="428" t="s">
        <v>3276</v>
      </c>
      <c r="E265" s="456">
        <v>0.23</v>
      </c>
      <c r="F265" s="456">
        <v>0.23</v>
      </c>
      <c r="G265" s="427" t="s">
        <v>3440</v>
      </c>
      <c r="H265" s="427" t="s">
        <v>3462</v>
      </c>
      <c r="I265" s="456">
        <v>0.23</v>
      </c>
      <c r="J265" s="458">
        <f t="shared" si="20"/>
        <v>1</v>
      </c>
      <c r="K265" s="473">
        <v>43361</v>
      </c>
      <c r="L265" s="456"/>
      <c r="M265" s="467" t="str">
        <f t="shared" si="21"/>
        <v/>
      </c>
      <c r="N265" s="456">
        <v>0.23</v>
      </c>
      <c r="O265" s="467">
        <f t="shared" si="22"/>
        <v>1</v>
      </c>
      <c r="P265" s="456">
        <v>0.23</v>
      </c>
      <c r="Q265" s="458">
        <f t="shared" si="23"/>
        <v>1</v>
      </c>
      <c r="R265" s="432" t="s">
        <v>1488</v>
      </c>
      <c r="S265" s="436">
        <v>2019</v>
      </c>
    </row>
    <row r="266" spans="1:19" ht="56.25">
      <c r="A266" s="457" t="s">
        <v>2416</v>
      </c>
      <c r="B266" s="471" t="s">
        <v>2417</v>
      </c>
      <c r="C266" s="472" t="s">
        <v>350</v>
      </c>
      <c r="D266" s="428" t="s">
        <v>3276</v>
      </c>
      <c r="E266" s="456">
        <v>0.374</v>
      </c>
      <c r="F266" s="456">
        <v>0.374</v>
      </c>
      <c r="G266" s="427" t="s">
        <v>2627</v>
      </c>
      <c r="H266" s="427" t="s">
        <v>3463</v>
      </c>
      <c r="I266" s="456"/>
      <c r="J266" s="458" t="str">
        <f t="shared" si="20"/>
        <v/>
      </c>
      <c r="K266" s="473"/>
      <c r="L266" s="456">
        <v>0</v>
      </c>
      <c r="M266" s="467">
        <f t="shared" si="21"/>
        <v>0</v>
      </c>
      <c r="N266" s="456">
        <v>0</v>
      </c>
      <c r="O266" s="467">
        <f t="shared" si="22"/>
        <v>0</v>
      </c>
      <c r="P266" s="456">
        <v>0.374</v>
      </c>
      <c r="Q266" s="458">
        <f t="shared" si="23"/>
        <v>1</v>
      </c>
      <c r="R266" s="432" t="s">
        <v>1488</v>
      </c>
      <c r="S266" s="436">
        <v>2019</v>
      </c>
    </row>
    <row r="267" spans="1:19" ht="56.25">
      <c r="A267" s="457" t="s">
        <v>2418</v>
      </c>
      <c r="B267" s="471" t="s">
        <v>2419</v>
      </c>
      <c r="C267" s="472" t="s">
        <v>351</v>
      </c>
      <c r="D267" s="428" t="s">
        <v>3276</v>
      </c>
      <c r="E267" s="456">
        <v>0.64</v>
      </c>
      <c r="F267" s="456">
        <v>0.64</v>
      </c>
      <c r="G267" s="427" t="s">
        <v>2627</v>
      </c>
      <c r="H267" s="427" t="s">
        <v>3464</v>
      </c>
      <c r="I267" s="456"/>
      <c r="J267" s="458" t="str">
        <f t="shared" si="20"/>
        <v/>
      </c>
      <c r="K267" s="473"/>
      <c r="L267" s="456">
        <v>0</v>
      </c>
      <c r="M267" s="467">
        <f t="shared" si="21"/>
        <v>0</v>
      </c>
      <c r="N267" s="456">
        <v>0</v>
      </c>
      <c r="O267" s="467">
        <f t="shared" si="22"/>
        <v>0</v>
      </c>
      <c r="P267" s="456">
        <v>0.64</v>
      </c>
      <c r="Q267" s="458">
        <f t="shared" si="23"/>
        <v>1</v>
      </c>
      <c r="R267" s="432" t="s">
        <v>1488</v>
      </c>
      <c r="S267" s="436">
        <v>2019</v>
      </c>
    </row>
    <row r="268" spans="1:19" ht="56.25">
      <c r="A268" s="457" t="s">
        <v>2420</v>
      </c>
      <c r="B268" s="471" t="s">
        <v>2421</v>
      </c>
      <c r="C268" s="472" t="s">
        <v>352</v>
      </c>
      <c r="D268" s="428" t="s">
        <v>3276</v>
      </c>
      <c r="E268" s="456">
        <v>0.96</v>
      </c>
      <c r="F268" s="456">
        <v>0.96</v>
      </c>
      <c r="G268" s="427" t="s">
        <v>3465</v>
      </c>
      <c r="H268" s="427" t="s">
        <v>3466</v>
      </c>
      <c r="I268" s="456">
        <v>0.85</v>
      </c>
      <c r="J268" s="458">
        <f t="shared" si="20"/>
        <v>0.88541666666666663</v>
      </c>
      <c r="K268" s="473">
        <v>43361</v>
      </c>
      <c r="L268" s="456"/>
      <c r="M268" s="467" t="str">
        <f t="shared" si="21"/>
        <v/>
      </c>
      <c r="N268" s="456">
        <v>0.95</v>
      </c>
      <c r="O268" s="467">
        <f t="shared" si="22"/>
        <v>0.98958333333333337</v>
      </c>
      <c r="P268" s="456">
        <v>0.95</v>
      </c>
      <c r="Q268" s="458">
        <f t="shared" si="23"/>
        <v>0.98958333333333337</v>
      </c>
      <c r="R268" s="432" t="s">
        <v>1488</v>
      </c>
      <c r="S268" s="436">
        <v>2019</v>
      </c>
    </row>
    <row r="269" spans="1:19" ht="56.25">
      <c r="A269" s="457" t="s">
        <v>2422</v>
      </c>
      <c r="B269" s="471" t="s">
        <v>2423</v>
      </c>
      <c r="C269" s="472" t="s">
        <v>353</v>
      </c>
      <c r="D269" s="428" t="s">
        <v>3276</v>
      </c>
      <c r="E269" s="456">
        <v>0.25</v>
      </c>
      <c r="F269" s="456">
        <v>0.25</v>
      </c>
      <c r="G269" s="427" t="s">
        <v>3467</v>
      </c>
      <c r="H269" s="427" t="s">
        <v>3468</v>
      </c>
      <c r="I269" s="456"/>
      <c r="J269" s="458" t="str">
        <f t="shared" si="20"/>
        <v/>
      </c>
      <c r="K269" s="473"/>
      <c r="L269" s="456">
        <v>0</v>
      </c>
      <c r="M269" s="467">
        <f t="shared" si="21"/>
        <v>0</v>
      </c>
      <c r="N269" s="456">
        <v>0.25</v>
      </c>
      <c r="O269" s="467">
        <f t="shared" si="22"/>
        <v>1</v>
      </c>
      <c r="P269" s="456">
        <v>0.25</v>
      </c>
      <c r="Q269" s="458">
        <f t="shared" si="23"/>
        <v>1</v>
      </c>
      <c r="R269" s="432" t="s">
        <v>1488</v>
      </c>
      <c r="S269" s="436">
        <v>2019</v>
      </c>
    </row>
    <row r="270" spans="1:19" ht="56.25">
      <c r="A270" s="457" t="s">
        <v>2424</v>
      </c>
      <c r="B270" s="471" t="s">
        <v>2425</v>
      </c>
      <c r="C270" s="472" t="s">
        <v>354</v>
      </c>
      <c r="D270" s="428" t="s">
        <v>3276</v>
      </c>
      <c r="E270" s="456">
        <v>0.68</v>
      </c>
      <c r="F270" s="456">
        <v>0.68</v>
      </c>
      <c r="G270" s="427" t="s">
        <v>2627</v>
      </c>
      <c r="H270" s="427" t="s">
        <v>3464</v>
      </c>
      <c r="I270" s="456">
        <v>0.68</v>
      </c>
      <c r="J270" s="458">
        <f t="shared" si="20"/>
        <v>1</v>
      </c>
      <c r="K270" s="473">
        <v>43361</v>
      </c>
      <c r="L270" s="456"/>
      <c r="M270" s="467" t="str">
        <f t="shared" si="21"/>
        <v/>
      </c>
      <c r="N270" s="456">
        <v>0.68</v>
      </c>
      <c r="O270" s="467">
        <f t="shared" si="22"/>
        <v>1</v>
      </c>
      <c r="P270" s="456">
        <v>0.68</v>
      </c>
      <c r="Q270" s="458">
        <f t="shared" si="23"/>
        <v>1</v>
      </c>
      <c r="R270" s="432" t="s">
        <v>1488</v>
      </c>
      <c r="S270" s="436">
        <v>2019</v>
      </c>
    </row>
    <row r="271" spans="1:19" ht="56.25">
      <c r="A271" s="457" t="s">
        <v>2426</v>
      </c>
      <c r="B271" s="471" t="s">
        <v>2427</v>
      </c>
      <c r="C271" s="472" t="s">
        <v>355</v>
      </c>
      <c r="D271" s="428" t="s">
        <v>3276</v>
      </c>
      <c r="E271" s="456">
        <v>1.9</v>
      </c>
      <c r="F271" s="456">
        <v>1.9</v>
      </c>
      <c r="G271" s="427" t="s">
        <v>2645</v>
      </c>
      <c r="H271" s="427" t="s">
        <v>2675</v>
      </c>
      <c r="I271" s="456"/>
      <c r="J271" s="458" t="str">
        <f t="shared" si="20"/>
        <v/>
      </c>
      <c r="K271" s="473"/>
      <c r="L271" s="456">
        <v>0</v>
      </c>
      <c r="M271" s="467">
        <f t="shared" si="21"/>
        <v>0</v>
      </c>
      <c r="N271" s="456">
        <v>0</v>
      </c>
      <c r="O271" s="467">
        <f t="shared" si="22"/>
        <v>0</v>
      </c>
      <c r="P271" s="456">
        <v>1.9</v>
      </c>
      <c r="Q271" s="458">
        <f t="shared" si="23"/>
        <v>1</v>
      </c>
      <c r="R271" s="432" t="s">
        <v>1488</v>
      </c>
      <c r="S271" s="436">
        <v>2019</v>
      </c>
    </row>
    <row r="272" spans="1:19" ht="56.25">
      <c r="A272" s="457" t="s">
        <v>2428</v>
      </c>
      <c r="B272" s="471" t="s">
        <v>2429</v>
      </c>
      <c r="C272" s="472" t="s">
        <v>356</v>
      </c>
      <c r="D272" s="428" t="s">
        <v>3276</v>
      </c>
      <c r="E272" s="456">
        <v>1.96</v>
      </c>
      <c r="F272" s="456">
        <v>1.96</v>
      </c>
      <c r="G272" s="427" t="s">
        <v>2645</v>
      </c>
      <c r="H272" s="427" t="s">
        <v>2636</v>
      </c>
      <c r="I272" s="456"/>
      <c r="J272" s="458" t="str">
        <f t="shared" si="20"/>
        <v/>
      </c>
      <c r="K272" s="473"/>
      <c r="L272" s="456">
        <v>0</v>
      </c>
      <c r="M272" s="467">
        <f t="shared" si="21"/>
        <v>0</v>
      </c>
      <c r="N272" s="456">
        <v>1.96</v>
      </c>
      <c r="O272" s="467">
        <f t="shared" si="22"/>
        <v>1</v>
      </c>
      <c r="P272" s="456">
        <v>1.96</v>
      </c>
      <c r="Q272" s="458">
        <f t="shared" si="23"/>
        <v>1</v>
      </c>
      <c r="R272" s="432" t="s">
        <v>1488</v>
      </c>
      <c r="S272" s="436">
        <v>2019</v>
      </c>
    </row>
    <row r="273" spans="1:19" ht="56.25">
      <c r="A273" s="457" t="s">
        <v>2430</v>
      </c>
      <c r="B273" s="471" t="s">
        <v>2431</v>
      </c>
      <c r="C273" s="472" t="s">
        <v>357</v>
      </c>
      <c r="D273" s="428" t="s">
        <v>3276</v>
      </c>
      <c r="E273" s="456">
        <v>0.95</v>
      </c>
      <c r="F273" s="456">
        <v>0.95</v>
      </c>
      <c r="G273" s="427" t="s">
        <v>2645</v>
      </c>
      <c r="H273" s="427" t="s">
        <v>3469</v>
      </c>
      <c r="I273" s="456"/>
      <c r="J273" s="458" t="str">
        <f t="shared" si="20"/>
        <v/>
      </c>
      <c r="K273" s="473"/>
      <c r="L273" s="456">
        <v>0</v>
      </c>
      <c r="M273" s="467">
        <f t="shared" si="21"/>
        <v>0</v>
      </c>
      <c r="N273" s="456">
        <v>0</v>
      </c>
      <c r="O273" s="467">
        <f t="shared" si="22"/>
        <v>0</v>
      </c>
      <c r="P273" s="456">
        <v>0.95</v>
      </c>
      <c r="Q273" s="458">
        <f t="shared" si="23"/>
        <v>1</v>
      </c>
      <c r="R273" s="432" t="s">
        <v>1488</v>
      </c>
      <c r="S273" s="436">
        <v>2019</v>
      </c>
    </row>
    <row r="274" spans="1:19" ht="56.25">
      <c r="A274" s="457" t="s">
        <v>2432</v>
      </c>
      <c r="B274" s="471" t="s">
        <v>2433</v>
      </c>
      <c r="C274" s="472" t="s">
        <v>358</v>
      </c>
      <c r="D274" s="428" t="s">
        <v>3276</v>
      </c>
      <c r="E274" s="456">
        <v>2.2330000000000001</v>
      </c>
      <c r="F274" s="456">
        <v>2.2330000000000001</v>
      </c>
      <c r="G274" s="427" t="s">
        <v>3470</v>
      </c>
      <c r="H274" s="427" t="s">
        <v>3471</v>
      </c>
      <c r="I274" s="456"/>
      <c r="J274" s="458" t="str">
        <f t="shared" si="20"/>
        <v/>
      </c>
      <c r="K274" s="473"/>
      <c r="L274" s="456"/>
      <c r="M274" s="467">
        <f t="shared" si="21"/>
        <v>0</v>
      </c>
      <c r="N274" s="456">
        <v>1.1000000000000001</v>
      </c>
      <c r="O274" s="467">
        <f t="shared" si="22"/>
        <v>0.49261083743842365</v>
      </c>
      <c r="P274" s="456">
        <v>2.2330000000000001</v>
      </c>
      <c r="Q274" s="458">
        <f t="shared" si="23"/>
        <v>1</v>
      </c>
      <c r="R274" s="432" t="s">
        <v>1488</v>
      </c>
      <c r="S274" s="436">
        <v>2019</v>
      </c>
    </row>
    <row r="275" spans="1:19" ht="56.25">
      <c r="A275" s="457" t="s">
        <v>2434</v>
      </c>
      <c r="B275" s="471" t="s">
        <v>2435</v>
      </c>
      <c r="C275" s="472" t="s">
        <v>359</v>
      </c>
      <c r="D275" s="428" t="s">
        <v>3276</v>
      </c>
      <c r="E275" s="456">
        <v>0.47</v>
      </c>
      <c r="F275" s="456">
        <v>0.47</v>
      </c>
      <c r="G275" s="427" t="s">
        <v>2636</v>
      </c>
      <c r="H275" s="427" t="s">
        <v>3472</v>
      </c>
      <c r="I275" s="456">
        <v>0.47</v>
      </c>
      <c r="J275" s="458">
        <f t="shared" si="20"/>
        <v>1</v>
      </c>
      <c r="K275" s="473">
        <v>43361</v>
      </c>
      <c r="L275" s="456"/>
      <c r="M275" s="467" t="str">
        <f t="shared" si="21"/>
        <v/>
      </c>
      <c r="N275" s="456">
        <v>0.47</v>
      </c>
      <c r="O275" s="467">
        <f t="shared" si="22"/>
        <v>1</v>
      </c>
      <c r="P275" s="456">
        <v>0.47</v>
      </c>
      <c r="Q275" s="458">
        <f t="shared" si="23"/>
        <v>1</v>
      </c>
      <c r="R275" s="432" t="s">
        <v>1488</v>
      </c>
      <c r="S275" s="436">
        <v>2019</v>
      </c>
    </row>
    <row r="276" spans="1:19" ht="56.25">
      <c r="A276" s="457" t="s">
        <v>2436</v>
      </c>
      <c r="B276" s="471" t="s">
        <v>2170</v>
      </c>
      <c r="C276" s="472" t="s">
        <v>360</v>
      </c>
      <c r="D276" s="428" t="s">
        <v>3276</v>
      </c>
      <c r="E276" s="456">
        <v>2.2999999999999998</v>
      </c>
      <c r="F276" s="456">
        <v>2.2999999999999998</v>
      </c>
      <c r="G276" s="427" t="s">
        <v>2645</v>
      </c>
      <c r="H276" s="427" t="s">
        <v>3473</v>
      </c>
      <c r="I276" s="456"/>
      <c r="J276" s="458" t="str">
        <f t="shared" si="20"/>
        <v/>
      </c>
      <c r="K276" s="473"/>
      <c r="L276" s="456">
        <v>0</v>
      </c>
      <c r="M276" s="467">
        <f t="shared" si="21"/>
        <v>0</v>
      </c>
      <c r="N276" s="456">
        <v>2.2999999999999998</v>
      </c>
      <c r="O276" s="467">
        <f t="shared" si="22"/>
        <v>1</v>
      </c>
      <c r="P276" s="456">
        <v>2.2999999999999998</v>
      </c>
      <c r="Q276" s="458">
        <f t="shared" si="23"/>
        <v>1</v>
      </c>
      <c r="R276" s="432" t="s">
        <v>1488</v>
      </c>
      <c r="S276" s="436">
        <v>2019</v>
      </c>
    </row>
    <row r="277" spans="1:19" ht="56.25">
      <c r="A277" s="457" t="s">
        <v>2437</v>
      </c>
      <c r="B277" s="471" t="s">
        <v>2438</v>
      </c>
      <c r="C277" s="472" t="s">
        <v>361</v>
      </c>
      <c r="D277" s="428" t="s">
        <v>3276</v>
      </c>
      <c r="E277" s="456">
        <v>1.1299999999999999</v>
      </c>
      <c r="F277" s="456">
        <v>1.1299999999999999</v>
      </c>
      <c r="G277" s="427" t="s">
        <v>3474</v>
      </c>
      <c r="H277" s="427" t="s">
        <v>3475</v>
      </c>
      <c r="I277" s="456"/>
      <c r="J277" s="458" t="str">
        <f t="shared" si="20"/>
        <v/>
      </c>
      <c r="K277" s="473"/>
      <c r="L277" s="456">
        <v>0</v>
      </c>
      <c r="M277" s="467">
        <f t="shared" si="21"/>
        <v>0</v>
      </c>
      <c r="N277" s="456">
        <v>1.1299999999999999</v>
      </c>
      <c r="O277" s="467">
        <f t="shared" si="22"/>
        <v>1</v>
      </c>
      <c r="P277" s="456">
        <v>1.1299999999999999</v>
      </c>
      <c r="Q277" s="458">
        <f t="shared" si="23"/>
        <v>1</v>
      </c>
      <c r="R277" s="432" t="s">
        <v>1488</v>
      </c>
      <c r="S277" s="436">
        <v>2019</v>
      </c>
    </row>
    <row r="278" spans="1:19" ht="56.25">
      <c r="A278" s="457" t="s">
        <v>2439</v>
      </c>
      <c r="B278" s="471" t="s">
        <v>2440</v>
      </c>
      <c r="C278" s="472" t="s">
        <v>362</v>
      </c>
      <c r="D278" s="428" t="s">
        <v>3276</v>
      </c>
      <c r="E278" s="456">
        <v>0.46</v>
      </c>
      <c r="F278" s="456">
        <v>0.46</v>
      </c>
      <c r="G278" s="427" t="s">
        <v>2645</v>
      </c>
      <c r="H278" s="427" t="s">
        <v>3476</v>
      </c>
      <c r="I278" s="456">
        <v>0.46</v>
      </c>
      <c r="J278" s="458">
        <f t="shared" si="20"/>
        <v>1</v>
      </c>
      <c r="K278" s="473">
        <v>43361</v>
      </c>
      <c r="L278" s="456"/>
      <c r="M278" s="467" t="str">
        <f t="shared" si="21"/>
        <v/>
      </c>
      <c r="N278" s="456">
        <v>0.46</v>
      </c>
      <c r="O278" s="467">
        <f t="shared" si="22"/>
        <v>1</v>
      </c>
      <c r="P278" s="456">
        <v>0.46</v>
      </c>
      <c r="Q278" s="458">
        <f t="shared" si="23"/>
        <v>1</v>
      </c>
      <c r="R278" s="432" t="s">
        <v>1488</v>
      </c>
      <c r="S278" s="436">
        <v>2019</v>
      </c>
    </row>
    <row r="279" spans="1:19" ht="56.25">
      <c r="A279" s="457" t="s">
        <v>2441</v>
      </c>
      <c r="B279" s="471" t="s">
        <v>2442</v>
      </c>
      <c r="C279" s="472" t="s">
        <v>363</v>
      </c>
      <c r="D279" s="428" t="s">
        <v>3276</v>
      </c>
      <c r="E279" s="456">
        <v>1.1000000000000001</v>
      </c>
      <c r="F279" s="456">
        <v>1.1000000000000001</v>
      </c>
      <c r="G279" s="427" t="s">
        <v>2627</v>
      </c>
      <c r="H279" s="427" t="s">
        <v>3477</v>
      </c>
      <c r="I279" s="456"/>
      <c r="J279" s="458" t="str">
        <f t="shared" si="20"/>
        <v/>
      </c>
      <c r="K279" s="473"/>
      <c r="L279" s="456">
        <v>0</v>
      </c>
      <c r="M279" s="467">
        <f t="shared" si="21"/>
        <v>0</v>
      </c>
      <c r="N279" s="456">
        <v>0</v>
      </c>
      <c r="O279" s="467">
        <f t="shared" si="22"/>
        <v>0</v>
      </c>
      <c r="P279" s="456">
        <v>1.1000000000000001</v>
      </c>
      <c r="Q279" s="458">
        <f t="shared" si="23"/>
        <v>1</v>
      </c>
      <c r="R279" s="432" t="s">
        <v>1488</v>
      </c>
      <c r="S279" s="436">
        <v>2019</v>
      </c>
    </row>
    <row r="280" spans="1:19" ht="56.25">
      <c r="A280" s="457" t="s">
        <v>2443</v>
      </c>
      <c r="B280" s="471" t="s">
        <v>2444</v>
      </c>
      <c r="C280" s="472" t="s">
        <v>364</v>
      </c>
      <c r="D280" s="428" t="s">
        <v>3276</v>
      </c>
      <c r="E280" s="456">
        <v>0.64</v>
      </c>
      <c r="F280" s="456">
        <v>0.64</v>
      </c>
      <c r="G280" s="427" t="s">
        <v>2645</v>
      </c>
      <c r="H280" s="427" t="s">
        <v>3478</v>
      </c>
      <c r="I280" s="456"/>
      <c r="J280" s="458" t="str">
        <f t="shared" si="20"/>
        <v/>
      </c>
      <c r="K280" s="473"/>
      <c r="L280" s="456">
        <v>0</v>
      </c>
      <c r="M280" s="467">
        <f t="shared" si="21"/>
        <v>0</v>
      </c>
      <c r="N280" s="456">
        <v>0</v>
      </c>
      <c r="O280" s="467">
        <f t="shared" si="22"/>
        <v>0</v>
      </c>
      <c r="P280" s="456">
        <v>0.64</v>
      </c>
      <c r="Q280" s="458">
        <f t="shared" si="23"/>
        <v>1</v>
      </c>
      <c r="R280" s="432" t="s">
        <v>1488</v>
      </c>
      <c r="S280" s="436">
        <v>2019</v>
      </c>
    </row>
    <row r="281" spans="1:19" ht="56.25">
      <c r="A281" s="457" t="s">
        <v>2445</v>
      </c>
      <c r="B281" s="471" t="s">
        <v>2446</v>
      </c>
      <c r="C281" s="472" t="s">
        <v>324</v>
      </c>
      <c r="D281" s="428" t="s">
        <v>3276</v>
      </c>
      <c r="E281" s="456">
        <v>0.88</v>
      </c>
      <c r="F281" s="456">
        <v>0.88</v>
      </c>
      <c r="G281" s="427" t="s">
        <v>2627</v>
      </c>
      <c r="H281" s="427" t="s">
        <v>3479</v>
      </c>
      <c r="I281" s="456">
        <v>0.47</v>
      </c>
      <c r="J281" s="458">
        <f t="shared" si="20"/>
        <v>0.53409090909090906</v>
      </c>
      <c r="K281" s="473">
        <v>43361</v>
      </c>
      <c r="L281" s="456"/>
      <c r="M281" s="467" t="str">
        <f t="shared" si="21"/>
        <v/>
      </c>
      <c r="N281" s="456">
        <v>0.67</v>
      </c>
      <c r="O281" s="467">
        <f t="shared" si="22"/>
        <v>0.76136363636363635</v>
      </c>
      <c r="P281" s="456">
        <v>0.88</v>
      </c>
      <c r="Q281" s="458">
        <f t="shared" si="23"/>
        <v>1</v>
      </c>
      <c r="R281" s="432" t="s">
        <v>1488</v>
      </c>
      <c r="S281" s="436">
        <v>2019</v>
      </c>
    </row>
    <row r="282" spans="1:19" ht="56.25">
      <c r="A282" s="457" t="s">
        <v>2447</v>
      </c>
      <c r="B282" s="471" t="s">
        <v>2045</v>
      </c>
      <c r="C282" s="472" t="s">
        <v>365</v>
      </c>
      <c r="D282" s="428" t="s">
        <v>3276</v>
      </c>
      <c r="E282" s="456">
        <v>2.0299999999999998</v>
      </c>
      <c r="F282" s="456">
        <v>2.0299999999999998</v>
      </c>
      <c r="G282" s="427" t="s">
        <v>2627</v>
      </c>
      <c r="H282" s="427" t="s">
        <v>3464</v>
      </c>
      <c r="I282" s="456">
        <v>1.95</v>
      </c>
      <c r="J282" s="458">
        <f t="shared" si="20"/>
        <v>0.96059113300492616</v>
      </c>
      <c r="K282" s="473">
        <v>43361</v>
      </c>
      <c r="L282" s="456"/>
      <c r="M282" s="467" t="str">
        <f t="shared" si="21"/>
        <v/>
      </c>
      <c r="N282" s="456">
        <v>1.95</v>
      </c>
      <c r="O282" s="467">
        <f t="shared" si="22"/>
        <v>0.96059113300492616</v>
      </c>
      <c r="P282" s="456">
        <v>2.0299999999999998</v>
      </c>
      <c r="Q282" s="458">
        <f t="shared" si="23"/>
        <v>1</v>
      </c>
      <c r="R282" s="432" t="s">
        <v>1488</v>
      </c>
      <c r="S282" s="436">
        <v>2019</v>
      </c>
    </row>
    <row r="283" spans="1:19" ht="56.25">
      <c r="A283" s="457" t="s">
        <v>2448</v>
      </c>
      <c r="B283" s="471" t="s">
        <v>2045</v>
      </c>
      <c r="C283" s="472" t="s">
        <v>366</v>
      </c>
      <c r="D283" s="428" t="s">
        <v>3276</v>
      </c>
      <c r="E283" s="456">
        <v>0.8</v>
      </c>
      <c r="F283" s="456">
        <v>0.8</v>
      </c>
      <c r="G283" s="427" t="s">
        <v>3480</v>
      </c>
      <c r="H283" s="427" t="s">
        <v>3481</v>
      </c>
      <c r="I283" s="456"/>
      <c r="J283" s="458" t="str">
        <f t="shared" si="20"/>
        <v/>
      </c>
      <c r="K283" s="473"/>
      <c r="L283" s="456">
        <v>0</v>
      </c>
      <c r="M283" s="467">
        <f t="shared" si="21"/>
        <v>0</v>
      </c>
      <c r="N283" s="456">
        <v>0.8</v>
      </c>
      <c r="O283" s="467">
        <f t="shared" si="22"/>
        <v>1</v>
      </c>
      <c r="P283" s="456">
        <v>0.8</v>
      </c>
      <c r="Q283" s="458">
        <f t="shared" si="23"/>
        <v>1</v>
      </c>
      <c r="R283" s="432" t="s">
        <v>1488</v>
      </c>
      <c r="S283" s="436">
        <v>2019</v>
      </c>
    </row>
    <row r="284" spans="1:19" ht="56.25">
      <c r="A284" s="457" t="s">
        <v>2449</v>
      </c>
      <c r="B284" s="471" t="s">
        <v>3273</v>
      </c>
      <c r="C284" s="472" t="s">
        <v>367</v>
      </c>
      <c r="D284" s="428" t="s">
        <v>3276</v>
      </c>
      <c r="E284" s="456">
        <v>0.32</v>
      </c>
      <c r="F284" s="456">
        <v>0.32</v>
      </c>
      <c r="G284" s="427" t="s">
        <v>2645</v>
      </c>
      <c r="H284" s="427" t="s">
        <v>3469</v>
      </c>
      <c r="I284" s="456">
        <v>0.32</v>
      </c>
      <c r="J284" s="458">
        <f t="shared" si="20"/>
        <v>1</v>
      </c>
      <c r="K284" s="473">
        <v>43361</v>
      </c>
      <c r="L284" s="456"/>
      <c r="M284" s="467" t="str">
        <f t="shared" si="21"/>
        <v/>
      </c>
      <c r="N284" s="456">
        <v>0.32</v>
      </c>
      <c r="O284" s="467">
        <f t="shared" si="22"/>
        <v>1</v>
      </c>
      <c r="P284" s="456">
        <v>0.32</v>
      </c>
      <c r="Q284" s="458">
        <f t="shared" si="23"/>
        <v>1</v>
      </c>
      <c r="R284" s="432" t="s">
        <v>1488</v>
      </c>
      <c r="S284" s="436">
        <v>2019</v>
      </c>
    </row>
    <row r="285" spans="1:19" ht="56.25">
      <c r="A285" s="457" t="s">
        <v>2450</v>
      </c>
      <c r="B285" s="471" t="s">
        <v>2451</v>
      </c>
      <c r="C285" s="472" t="s">
        <v>368</v>
      </c>
      <c r="D285" s="428" t="s">
        <v>3276</v>
      </c>
      <c r="E285" s="456">
        <v>0.44</v>
      </c>
      <c r="F285" s="456">
        <v>0.44</v>
      </c>
      <c r="G285" s="427" t="s">
        <v>3463</v>
      </c>
      <c r="H285" s="427" t="s">
        <v>3482</v>
      </c>
      <c r="I285" s="456"/>
      <c r="J285" s="458" t="str">
        <f t="shared" si="20"/>
        <v/>
      </c>
      <c r="K285" s="473"/>
      <c r="L285" s="456">
        <v>0</v>
      </c>
      <c r="M285" s="467">
        <f t="shared" si="21"/>
        <v>0</v>
      </c>
      <c r="N285" s="456">
        <v>0.17</v>
      </c>
      <c r="O285" s="467">
        <f t="shared" si="22"/>
        <v>0.38636363636363641</v>
      </c>
      <c r="P285" s="456">
        <v>0.44</v>
      </c>
      <c r="Q285" s="458">
        <f t="shared" si="23"/>
        <v>1</v>
      </c>
      <c r="R285" s="432" t="s">
        <v>1488</v>
      </c>
      <c r="S285" s="436">
        <v>2019</v>
      </c>
    </row>
    <row r="286" spans="1:19" ht="56.25">
      <c r="A286" s="457" t="s">
        <v>2452</v>
      </c>
      <c r="B286" s="471" t="s">
        <v>2453</v>
      </c>
      <c r="C286" s="472" t="s">
        <v>313</v>
      </c>
      <c r="D286" s="428" t="s">
        <v>3276</v>
      </c>
      <c r="E286" s="456">
        <v>4.68</v>
      </c>
      <c r="F286" s="456">
        <v>4.68</v>
      </c>
      <c r="G286" s="427" t="s">
        <v>2645</v>
      </c>
      <c r="H286" s="427" t="s">
        <v>3478</v>
      </c>
      <c r="I286" s="456">
        <v>4.68</v>
      </c>
      <c r="J286" s="458">
        <f t="shared" si="20"/>
        <v>1</v>
      </c>
      <c r="K286" s="473">
        <v>43361</v>
      </c>
      <c r="L286" s="456"/>
      <c r="M286" s="467" t="str">
        <f t="shared" si="21"/>
        <v/>
      </c>
      <c r="N286" s="456">
        <v>4.68</v>
      </c>
      <c r="O286" s="467">
        <f t="shared" si="22"/>
        <v>1</v>
      </c>
      <c r="P286" s="456">
        <v>4.68</v>
      </c>
      <c r="Q286" s="458">
        <f t="shared" si="23"/>
        <v>1</v>
      </c>
      <c r="R286" s="432" t="s">
        <v>1488</v>
      </c>
      <c r="S286" s="436">
        <v>2019</v>
      </c>
    </row>
    <row r="287" spans="1:19" ht="56.25">
      <c r="A287" s="457" t="s">
        <v>2454</v>
      </c>
      <c r="B287" s="471" t="s">
        <v>2455</v>
      </c>
      <c r="C287" s="472" t="s">
        <v>369</v>
      </c>
      <c r="D287" s="428" t="s">
        <v>3276</v>
      </c>
      <c r="E287" s="456">
        <v>0.52</v>
      </c>
      <c r="F287" s="456">
        <v>0.52</v>
      </c>
      <c r="G287" s="427" t="s">
        <v>2647</v>
      </c>
      <c r="H287" s="427" t="s">
        <v>3483</v>
      </c>
      <c r="I287" s="456"/>
      <c r="J287" s="458" t="str">
        <f t="shared" si="20"/>
        <v/>
      </c>
      <c r="K287" s="473"/>
      <c r="L287" s="456">
        <v>0</v>
      </c>
      <c r="M287" s="467">
        <f t="shared" si="21"/>
        <v>0</v>
      </c>
      <c r="N287" s="456">
        <v>0</v>
      </c>
      <c r="O287" s="467">
        <f t="shared" si="22"/>
        <v>0</v>
      </c>
      <c r="P287" s="456">
        <v>0.52</v>
      </c>
      <c r="Q287" s="458">
        <f t="shared" si="23"/>
        <v>1</v>
      </c>
      <c r="R287" s="432" t="s">
        <v>1488</v>
      </c>
      <c r="S287" s="436">
        <v>2019</v>
      </c>
    </row>
    <row r="288" spans="1:19" ht="112.5">
      <c r="A288" s="457" t="s">
        <v>2456</v>
      </c>
      <c r="B288" s="471" t="s">
        <v>2113</v>
      </c>
      <c r="C288" s="472" t="s">
        <v>370</v>
      </c>
      <c r="D288" s="428" t="s">
        <v>3276</v>
      </c>
      <c r="E288" s="456">
        <v>3.44</v>
      </c>
      <c r="F288" s="456">
        <v>3.44</v>
      </c>
      <c r="G288" s="427" t="s">
        <v>2645</v>
      </c>
      <c r="H288" s="427" t="s">
        <v>3469</v>
      </c>
      <c r="I288" s="456">
        <v>1.2</v>
      </c>
      <c r="J288" s="458">
        <f t="shared" si="20"/>
        <v>0.34883720930232559</v>
      </c>
      <c r="K288" s="473">
        <v>43361</v>
      </c>
      <c r="L288" s="456"/>
      <c r="M288" s="467" t="str">
        <f t="shared" si="21"/>
        <v/>
      </c>
      <c r="N288" s="456">
        <v>3.4</v>
      </c>
      <c r="O288" s="467">
        <f t="shared" si="22"/>
        <v>0.98837209302325579</v>
      </c>
      <c r="P288" s="456">
        <v>3.4400000000000004</v>
      </c>
      <c r="Q288" s="458">
        <f t="shared" si="23"/>
        <v>1.0000000000000002</v>
      </c>
      <c r="R288" s="432" t="s">
        <v>1488</v>
      </c>
      <c r="S288" s="436">
        <v>2019</v>
      </c>
    </row>
    <row r="289" spans="1:19" ht="56.25">
      <c r="A289" s="457" t="s">
        <v>2457</v>
      </c>
      <c r="B289" s="471" t="s">
        <v>2458</v>
      </c>
      <c r="C289" s="472" t="s">
        <v>371</v>
      </c>
      <c r="D289" s="428" t="s">
        <v>3276</v>
      </c>
      <c r="E289" s="456">
        <v>1.23</v>
      </c>
      <c r="F289" s="456">
        <v>1.23</v>
      </c>
      <c r="G289" s="427" t="s">
        <v>2627</v>
      </c>
      <c r="H289" s="427" t="s">
        <v>3477</v>
      </c>
      <c r="I289" s="456"/>
      <c r="J289" s="458" t="str">
        <f t="shared" si="20"/>
        <v/>
      </c>
      <c r="K289" s="473"/>
      <c r="L289" s="456">
        <v>0</v>
      </c>
      <c r="M289" s="467">
        <f t="shared" si="21"/>
        <v>0</v>
      </c>
      <c r="N289" s="456">
        <v>0</v>
      </c>
      <c r="O289" s="467">
        <f t="shared" si="22"/>
        <v>0</v>
      </c>
      <c r="P289" s="456">
        <v>1.23</v>
      </c>
      <c r="Q289" s="458">
        <f t="shared" si="23"/>
        <v>1</v>
      </c>
      <c r="R289" s="432" t="s">
        <v>1488</v>
      </c>
      <c r="S289" s="436">
        <v>2019</v>
      </c>
    </row>
    <row r="290" spans="1:19" ht="56.25">
      <c r="A290" s="457" t="s">
        <v>2459</v>
      </c>
      <c r="B290" s="471" t="s">
        <v>2460</v>
      </c>
      <c r="C290" s="472" t="s">
        <v>372</v>
      </c>
      <c r="D290" s="428" t="s">
        <v>3276</v>
      </c>
      <c r="E290" s="456">
        <v>1.2</v>
      </c>
      <c r="F290" s="456">
        <v>1.2</v>
      </c>
      <c r="G290" s="427" t="s">
        <v>3480</v>
      </c>
      <c r="H290" s="427" t="s">
        <v>3479</v>
      </c>
      <c r="I290" s="456"/>
      <c r="J290" s="458" t="str">
        <f t="shared" si="20"/>
        <v/>
      </c>
      <c r="K290" s="473"/>
      <c r="L290" s="456">
        <v>0</v>
      </c>
      <c r="M290" s="467">
        <f t="shared" si="21"/>
        <v>0</v>
      </c>
      <c r="N290" s="456">
        <v>0</v>
      </c>
      <c r="O290" s="467">
        <f t="shared" si="22"/>
        <v>0</v>
      </c>
      <c r="P290" s="456">
        <v>1.2</v>
      </c>
      <c r="Q290" s="458">
        <f t="shared" si="23"/>
        <v>1</v>
      </c>
      <c r="R290" s="432" t="s">
        <v>1488</v>
      </c>
      <c r="S290" s="436">
        <v>2019</v>
      </c>
    </row>
    <row r="291" spans="1:19" ht="56.25">
      <c r="A291" s="457" t="s">
        <v>2461</v>
      </c>
      <c r="B291" s="471" t="s">
        <v>2462</v>
      </c>
      <c r="C291" s="472" t="s">
        <v>373</v>
      </c>
      <c r="D291" s="428" t="s">
        <v>3276</v>
      </c>
      <c r="E291" s="475">
        <v>0.85</v>
      </c>
      <c r="F291" s="456">
        <v>0.85</v>
      </c>
      <c r="G291" s="427" t="s">
        <v>2674</v>
      </c>
      <c r="H291" s="427" t="s">
        <v>3484</v>
      </c>
      <c r="I291" s="456">
        <v>0.85</v>
      </c>
      <c r="J291" s="458">
        <f t="shared" si="20"/>
        <v>1</v>
      </c>
      <c r="K291" s="473">
        <v>43361</v>
      </c>
      <c r="L291" s="456"/>
      <c r="M291" s="467" t="str">
        <f t="shared" si="21"/>
        <v/>
      </c>
      <c r="N291" s="456">
        <v>0.85</v>
      </c>
      <c r="O291" s="467">
        <f t="shared" si="22"/>
        <v>1</v>
      </c>
      <c r="P291" s="456">
        <v>0.85</v>
      </c>
      <c r="Q291" s="458">
        <f t="shared" si="23"/>
        <v>1</v>
      </c>
      <c r="R291" s="432" t="s">
        <v>1488</v>
      </c>
      <c r="S291" s="436">
        <v>2019</v>
      </c>
    </row>
    <row r="292" spans="1:19" ht="56.25">
      <c r="A292" s="457" t="s">
        <v>2463</v>
      </c>
      <c r="B292" s="471" t="s">
        <v>2464</v>
      </c>
      <c r="C292" s="472" t="s">
        <v>374</v>
      </c>
      <c r="D292" s="428" t="s">
        <v>3276</v>
      </c>
      <c r="E292" s="456">
        <v>1.55</v>
      </c>
      <c r="F292" s="456">
        <v>1.55</v>
      </c>
      <c r="G292" s="427" t="s">
        <v>2645</v>
      </c>
      <c r="H292" s="427" t="s">
        <v>3485</v>
      </c>
      <c r="I292" s="456"/>
      <c r="J292" s="458" t="str">
        <f t="shared" si="20"/>
        <v/>
      </c>
      <c r="K292" s="473"/>
      <c r="L292" s="456">
        <v>0</v>
      </c>
      <c r="M292" s="467">
        <f t="shared" si="21"/>
        <v>0</v>
      </c>
      <c r="N292" s="456">
        <v>0</v>
      </c>
      <c r="O292" s="467">
        <f t="shared" si="22"/>
        <v>0</v>
      </c>
      <c r="P292" s="456">
        <v>1.55</v>
      </c>
      <c r="Q292" s="458">
        <f t="shared" si="23"/>
        <v>1</v>
      </c>
      <c r="R292" s="432" t="s">
        <v>1488</v>
      </c>
      <c r="S292" s="436">
        <v>2019</v>
      </c>
    </row>
    <row r="293" spans="1:19" ht="93.75">
      <c r="A293" s="457" t="s">
        <v>2465</v>
      </c>
      <c r="B293" s="471" t="s">
        <v>2466</v>
      </c>
      <c r="C293" s="472" t="s">
        <v>375</v>
      </c>
      <c r="D293" s="428" t="s">
        <v>3276</v>
      </c>
      <c r="E293" s="456">
        <v>0.48</v>
      </c>
      <c r="F293" s="456">
        <v>0.48</v>
      </c>
      <c r="G293" s="427" t="s">
        <v>3486</v>
      </c>
      <c r="H293" s="427" t="s">
        <v>3487</v>
      </c>
      <c r="I293" s="456">
        <v>0.48</v>
      </c>
      <c r="J293" s="458">
        <f t="shared" si="20"/>
        <v>1</v>
      </c>
      <c r="K293" s="473">
        <v>43361</v>
      </c>
      <c r="L293" s="456"/>
      <c r="M293" s="467" t="str">
        <f t="shared" si="21"/>
        <v/>
      </c>
      <c r="N293" s="456">
        <v>0.48</v>
      </c>
      <c r="O293" s="467">
        <f t="shared" si="22"/>
        <v>1</v>
      </c>
      <c r="P293" s="456">
        <v>0.48</v>
      </c>
      <c r="Q293" s="458">
        <f t="shared" si="23"/>
        <v>1</v>
      </c>
      <c r="R293" s="432" t="s">
        <v>1488</v>
      </c>
      <c r="S293" s="436">
        <v>2019</v>
      </c>
    </row>
    <row r="294" spans="1:19" ht="56.25">
      <c r="A294" s="457" t="s">
        <v>2467</v>
      </c>
      <c r="B294" s="471" t="s">
        <v>2468</v>
      </c>
      <c r="C294" s="472" t="s">
        <v>376</v>
      </c>
      <c r="D294" s="428" t="s">
        <v>3276</v>
      </c>
      <c r="E294" s="456">
        <v>0.6</v>
      </c>
      <c r="F294" s="456">
        <v>0.6</v>
      </c>
      <c r="G294" s="427" t="s">
        <v>2627</v>
      </c>
      <c r="H294" s="427" t="s">
        <v>3488</v>
      </c>
      <c r="I294" s="456">
        <v>0.6</v>
      </c>
      <c r="J294" s="458">
        <f t="shared" si="20"/>
        <v>1</v>
      </c>
      <c r="K294" s="473">
        <v>43361</v>
      </c>
      <c r="L294" s="456"/>
      <c r="M294" s="467" t="str">
        <f t="shared" si="21"/>
        <v/>
      </c>
      <c r="N294" s="456">
        <v>0.6</v>
      </c>
      <c r="O294" s="467">
        <f t="shared" si="22"/>
        <v>1</v>
      </c>
      <c r="P294" s="456">
        <v>0.6</v>
      </c>
      <c r="Q294" s="458">
        <f t="shared" si="23"/>
        <v>1</v>
      </c>
      <c r="R294" s="432" t="s">
        <v>1488</v>
      </c>
      <c r="S294" s="436">
        <v>2019</v>
      </c>
    </row>
    <row r="295" spans="1:19" ht="56.25">
      <c r="A295" s="457" t="s">
        <v>2469</v>
      </c>
      <c r="B295" s="471" t="s">
        <v>2470</v>
      </c>
      <c r="C295" s="472" t="s">
        <v>377</v>
      </c>
      <c r="D295" s="428" t="s">
        <v>3276</v>
      </c>
      <c r="E295" s="456">
        <v>1.55</v>
      </c>
      <c r="F295" s="456">
        <v>1.55</v>
      </c>
      <c r="G295" s="427" t="s">
        <v>2627</v>
      </c>
      <c r="H295" s="427" t="s">
        <v>3489</v>
      </c>
      <c r="I295" s="456">
        <v>1.2</v>
      </c>
      <c r="J295" s="458">
        <f t="shared" si="20"/>
        <v>0.77419354838709675</v>
      </c>
      <c r="K295" s="473">
        <v>43361</v>
      </c>
      <c r="L295" s="456"/>
      <c r="M295" s="467" t="str">
        <f t="shared" si="21"/>
        <v/>
      </c>
      <c r="N295" s="456">
        <v>1.2</v>
      </c>
      <c r="O295" s="467">
        <f t="shared" si="22"/>
        <v>0.77419354838709675</v>
      </c>
      <c r="P295" s="456">
        <v>1.55</v>
      </c>
      <c r="Q295" s="458">
        <f t="shared" si="23"/>
        <v>1</v>
      </c>
      <c r="R295" s="432" t="s">
        <v>1488</v>
      </c>
      <c r="S295" s="436">
        <v>2019</v>
      </c>
    </row>
    <row r="296" spans="1:19" ht="56.25">
      <c r="A296" s="457" t="s">
        <v>2471</v>
      </c>
      <c r="B296" s="471" t="s">
        <v>2423</v>
      </c>
      <c r="C296" s="472" t="s">
        <v>378</v>
      </c>
      <c r="D296" s="428" t="s">
        <v>3276</v>
      </c>
      <c r="E296" s="456">
        <v>1.0980000000000001</v>
      </c>
      <c r="F296" s="456">
        <v>1.0980000000000001</v>
      </c>
      <c r="G296" s="427" t="s">
        <v>2645</v>
      </c>
      <c r="H296" s="427" t="s">
        <v>3483</v>
      </c>
      <c r="I296" s="456">
        <v>0.94</v>
      </c>
      <c r="J296" s="458">
        <f t="shared" si="20"/>
        <v>0.85610200364298716</v>
      </c>
      <c r="K296" s="473">
        <v>43361</v>
      </c>
      <c r="L296" s="456"/>
      <c r="M296" s="467" t="str">
        <f t="shared" si="21"/>
        <v/>
      </c>
      <c r="N296" s="456">
        <v>0.94</v>
      </c>
      <c r="O296" s="467">
        <f t="shared" si="22"/>
        <v>0.85610200364298716</v>
      </c>
      <c r="P296" s="456">
        <v>1.0980000000000001</v>
      </c>
      <c r="Q296" s="458">
        <f t="shared" si="23"/>
        <v>1</v>
      </c>
      <c r="R296" s="432" t="s">
        <v>1488</v>
      </c>
      <c r="S296" s="436">
        <v>2019</v>
      </c>
    </row>
    <row r="297" spans="1:19" ht="56.25">
      <c r="A297" s="457" t="s">
        <v>2472</v>
      </c>
      <c r="B297" s="471" t="s">
        <v>3274</v>
      </c>
      <c r="C297" s="472" t="s">
        <v>379</v>
      </c>
      <c r="D297" s="428" t="s">
        <v>3276</v>
      </c>
      <c r="E297" s="456">
        <v>0.4</v>
      </c>
      <c r="F297" s="456">
        <v>0.4</v>
      </c>
      <c r="G297" s="427" t="s">
        <v>2645</v>
      </c>
      <c r="H297" s="427" t="s">
        <v>2672</v>
      </c>
      <c r="I297" s="456"/>
      <c r="J297" s="458" t="str">
        <f t="shared" si="20"/>
        <v/>
      </c>
      <c r="K297" s="473"/>
      <c r="L297" s="456">
        <v>0</v>
      </c>
      <c r="M297" s="467">
        <f t="shared" si="21"/>
        <v>0</v>
      </c>
      <c r="N297" s="456">
        <v>0.4</v>
      </c>
      <c r="O297" s="467">
        <f t="shared" si="22"/>
        <v>1</v>
      </c>
      <c r="P297" s="456">
        <v>0.4</v>
      </c>
      <c r="Q297" s="458">
        <f t="shared" si="23"/>
        <v>1</v>
      </c>
      <c r="R297" s="432" t="s">
        <v>1488</v>
      </c>
      <c r="S297" s="436">
        <v>2019</v>
      </c>
    </row>
    <row r="298" spans="1:19" ht="56.25">
      <c r="A298" s="457" t="s">
        <v>2473</v>
      </c>
      <c r="B298" s="489"/>
      <c r="C298" s="472" t="s">
        <v>381</v>
      </c>
      <c r="D298" s="428" t="s">
        <v>3276</v>
      </c>
      <c r="E298" s="456">
        <v>2.2999999999999998</v>
      </c>
      <c r="F298" s="456">
        <v>2.2999999999999998</v>
      </c>
      <c r="G298" s="427" t="s">
        <v>2645</v>
      </c>
      <c r="H298" s="427" t="s">
        <v>2646</v>
      </c>
      <c r="I298" s="456"/>
      <c r="J298" s="458" t="str">
        <f t="shared" si="20"/>
        <v/>
      </c>
      <c r="K298" s="473"/>
      <c r="L298" s="456">
        <v>0</v>
      </c>
      <c r="M298" s="467">
        <f t="shared" si="21"/>
        <v>0</v>
      </c>
      <c r="N298" s="456">
        <v>0</v>
      </c>
      <c r="O298" s="467">
        <f t="shared" si="22"/>
        <v>0</v>
      </c>
      <c r="P298" s="456">
        <v>2.2999999999999998</v>
      </c>
      <c r="Q298" s="458">
        <f t="shared" si="23"/>
        <v>1</v>
      </c>
      <c r="R298" s="432" t="s">
        <v>1488</v>
      </c>
      <c r="S298" s="436">
        <v>2019</v>
      </c>
    </row>
    <row r="299" spans="1:19" ht="56.25">
      <c r="A299" s="457" t="s">
        <v>2474</v>
      </c>
      <c r="B299" s="471" t="s">
        <v>2475</v>
      </c>
      <c r="C299" s="472" t="s">
        <v>382</v>
      </c>
      <c r="D299" s="428" t="s">
        <v>3276</v>
      </c>
      <c r="E299" s="475">
        <v>0.11</v>
      </c>
      <c r="F299" s="456">
        <v>0.11</v>
      </c>
      <c r="G299" s="427" t="s">
        <v>2627</v>
      </c>
      <c r="H299" s="427" t="s">
        <v>3490</v>
      </c>
      <c r="I299" s="456">
        <v>0.11</v>
      </c>
      <c r="J299" s="458">
        <f t="shared" si="20"/>
        <v>1</v>
      </c>
      <c r="K299" s="473">
        <v>43361</v>
      </c>
      <c r="L299" s="456"/>
      <c r="M299" s="467" t="str">
        <f t="shared" si="21"/>
        <v/>
      </c>
      <c r="N299" s="456">
        <v>0.11</v>
      </c>
      <c r="O299" s="467">
        <f t="shared" si="22"/>
        <v>1</v>
      </c>
      <c r="P299" s="456">
        <v>0.11</v>
      </c>
      <c r="Q299" s="458">
        <f t="shared" si="23"/>
        <v>1</v>
      </c>
      <c r="R299" s="432" t="s">
        <v>1488</v>
      </c>
      <c r="S299" s="436">
        <v>2019</v>
      </c>
    </row>
    <row r="300" spans="1:19" ht="56.25">
      <c r="A300" s="457" t="s">
        <v>2476</v>
      </c>
      <c r="B300" s="471" t="s">
        <v>2477</v>
      </c>
      <c r="C300" s="472" t="s">
        <v>383</v>
      </c>
      <c r="D300" s="428" t="s">
        <v>3276</v>
      </c>
      <c r="E300" s="475">
        <v>0.38</v>
      </c>
      <c r="F300" s="456">
        <v>0.38</v>
      </c>
      <c r="G300" s="427" t="s">
        <v>3328</v>
      </c>
      <c r="H300" s="427" t="s">
        <v>3480</v>
      </c>
      <c r="I300" s="456">
        <v>0.38</v>
      </c>
      <c r="J300" s="458">
        <f t="shared" si="20"/>
        <v>1</v>
      </c>
      <c r="K300" s="473">
        <v>43361</v>
      </c>
      <c r="L300" s="456"/>
      <c r="M300" s="467" t="str">
        <f t="shared" si="21"/>
        <v/>
      </c>
      <c r="N300" s="456">
        <v>0.38</v>
      </c>
      <c r="O300" s="467">
        <f t="shared" si="22"/>
        <v>1</v>
      </c>
      <c r="P300" s="456">
        <v>0.38</v>
      </c>
      <c r="Q300" s="458">
        <f t="shared" si="23"/>
        <v>1</v>
      </c>
      <c r="R300" s="432" t="s">
        <v>1488</v>
      </c>
      <c r="S300" s="436">
        <v>2019</v>
      </c>
    </row>
    <row r="301" spans="1:19" ht="56.25">
      <c r="A301" s="457" t="s">
        <v>2478</v>
      </c>
      <c r="B301" s="471" t="s">
        <v>2281</v>
      </c>
      <c r="C301" s="472" t="s">
        <v>384</v>
      </c>
      <c r="D301" s="428" t="s">
        <v>3276</v>
      </c>
      <c r="E301" s="475">
        <v>0.72</v>
      </c>
      <c r="F301" s="456">
        <v>0.72</v>
      </c>
      <c r="G301" s="427" t="s">
        <v>2627</v>
      </c>
      <c r="H301" s="427" t="s">
        <v>3463</v>
      </c>
      <c r="I301" s="456">
        <v>0.72</v>
      </c>
      <c r="J301" s="458">
        <f t="shared" si="20"/>
        <v>1</v>
      </c>
      <c r="K301" s="473">
        <v>43361</v>
      </c>
      <c r="L301" s="456"/>
      <c r="M301" s="467" t="str">
        <f t="shared" si="21"/>
        <v/>
      </c>
      <c r="N301" s="456">
        <v>0.72</v>
      </c>
      <c r="O301" s="467">
        <f t="shared" si="22"/>
        <v>1</v>
      </c>
      <c r="P301" s="456">
        <v>0.72</v>
      </c>
      <c r="Q301" s="458">
        <f t="shared" si="23"/>
        <v>1</v>
      </c>
      <c r="R301" s="432" t="s">
        <v>1488</v>
      </c>
      <c r="S301" s="436">
        <v>2019</v>
      </c>
    </row>
    <row r="302" spans="1:19" ht="56.25">
      <c r="A302" s="457" t="s">
        <v>2479</v>
      </c>
      <c r="B302" s="471" t="s">
        <v>2408</v>
      </c>
      <c r="C302" s="472" t="s">
        <v>385</v>
      </c>
      <c r="D302" s="428" t="s">
        <v>3276</v>
      </c>
      <c r="E302" s="475">
        <v>0.23</v>
      </c>
      <c r="F302" s="456">
        <v>0.23</v>
      </c>
      <c r="G302" s="427" t="s">
        <v>3491</v>
      </c>
      <c r="H302" s="427" t="s">
        <v>3477</v>
      </c>
      <c r="I302" s="456">
        <v>0.23</v>
      </c>
      <c r="J302" s="458">
        <f t="shared" ref="J302:J305" si="24">IF(I302="","",I302/F302)</f>
        <v>1</v>
      </c>
      <c r="K302" s="473">
        <v>43361</v>
      </c>
      <c r="L302" s="456"/>
      <c r="M302" s="467" t="str">
        <f t="shared" ref="M302:M305" si="25">IF(I302="",L302/F302,"")</f>
        <v/>
      </c>
      <c r="N302" s="456">
        <v>0.23</v>
      </c>
      <c r="O302" s="467">
        <f t="shared" si="22"/>
        <v>1</v>
      </c>
      <c r="P302" s="456">
        <v>0.23</v>
      </c>
      <c r="Q302" s="458">
        <f t="shared" si="23"/>
        <v>1</v>
      </c>
      <c r="R302" s="432" t="s">
        <v>1488</v>
      </c>
      <c r="S302" s="436">
        <v>2019</v>
      </c>
    </row>
    <row r="303" spans="1:19" ht="56.25">
      <c r="A303" s="457" t="s">
        <v>2480</v>
      </c>
      <c r="B303" s="471" t="s">
        <v>2481</v>
      </c>
      <c r="C303" s="472" t="s">
        <v>386</v>
      </c>
      <c r="D303" s="428" t="s">
        <v>3276</v>
      </c>
      <c r="E303" s="475">
        <v>1.1200000000000001</v>
      </c>
      <c r="F303" s="456">
        <v>1.1200000000000001</v>
      </c>
      <c r="G303" s="427" t="s">
        <v>2643</v>
      </c>
      <c r="H303" s="427" t="s">
        <v>3489</v>
      </c>
      <c r="I303" s="456">
        <v>1.1200000000000001</v>
      </c>
      <c r="J303" s="458">
        <f t="shared" si="24"/>
        <v>1</v>
      </c>
      <c r="K303" s="473">
        <v>43361</v>
      </c>
      <c r="L303" s="456"/>
      <c r="M303" s="467" t="str">
        <f t="shared" si="25"/>
        <v/>
      </c>
      <c r="N303" s="456">
        <v>1.1200000000000001</v>
      </c>
      <c r="O303" s="467">
        <f t="shared" si="22"/>
        <v>1</v>
      </c>
      <c r="P303" s="456">
        <v>1.1200000000000001</v>
      </c>
      <c r="Q303" s="458">
        <f t="shared" si="23"/>
        <v>1</v>
      </c>
      <c r="R303" s="432" t="s">
        <v>1488</v>
      </c>
      <c r="S303" s="436">
        <v>2019</v>
      </c>
    </row>
    <row r="304" spans="1:19" ht="56.25">
      <c r="A304" s="457" t="s">
        <v>2482</v>
      </c>
      <c r="B304" s="471" t="s">
        <v>2481</v>
      </c>
      <c r="C304" s="472" t="s">
        <v>387</v>
      </c>
      <c r="D304" s="428" t="s">
        <v>3276</v>
      </c>
      <c r="E304" s="475">
        <v>0.72</v>
      </c>
      <c r="F304" s="456">
        <v>0.72</v>
      </c>
      <c r="G304" s="427" t="s">
        <v>3492</v>
      </c>
      <c r="H304" s="427" t="s">
        <v>2636</v>
      </c>
      <c r="I304" s="456">
        <v>0.72</v>
      </c>
      <c r="J304" s="458">
        <f t="shared" si="24"/>
        <v>1</v>
      </c>
      <c r="K304" s="473">
        <v>43361</v>
      </c>
      <c r="L304" s="456"/>
      <c r="M304" s="467" t="str">
        <f t="shared" si="25"/>
        <v/>
      </c>
      <c r="N304" s="456">
        <v>0.72</v>
      </c>
      <c r="O304" s="467">
        <f t="shared" si="22"/>
        <v>1</v>
      </c>
      <c r="P304" s="456">
        <v>0.72</v>
      </c>
      <c r="Q304" s="458">
        <f t="shared" si="23"/>
        <v>1</v>
      </c>
      <c r="R304" s="432" t="s">
        <v>1488</v>
      </c>
      <c r="S304" s="436">
        <v>2019</v>
      </c>
    </row>
    <row r="305" spans="1:19" ht="56.25">
      <c r="A305" s="457" t="s">
        <v>2483</v>
      </c>
      <c r="B305" s="471" t="s">
        <v>2484</v>
      </c>
      <c r="C305" s="472" t="s">
        <v>388</v>
      </c>
      <c r="D305" s="428" t="s">
        <v>3276</v>
      </c>
      <c r="E305" s="475">
        <v>0.92</v>
      </c>
      <c r="F305" s="456">
        <v>0.92</v>
      </c>
      <c r="G305" s="427" t="s">
        <v>3470</v>
      </c>
      <c r="H305" s="427" t="s">
        <v>3493</v>
      </c>
      <c r="I305" s="456">
        <v>0.92</v>
      </c>
      <c r="J305" s="458">
        <f t="shared" si="24"/>
        <v>1</v>
      </c>
      <c r="K305" s="473">
        <v>43361</v>
      </c>
      <c r="L305" s="456"/>
      <c r="M305" s="467" t="str">
        <f t="shared" si="25"/>
        <v/>
      </c>
      <c r="N305" s="456">
        <v>0.92</v>
      </c>
      <c r="O305" s="467">
        <f t="shared" si="22"/>
        <v>1</v>
      </c>
      <c r="P305" s="456">
        <v>0.92</v>
      </c>
      <c r="Q305" s="458">
        <f t="shared" si="23"/>
        <v>1</v>
      </c>
      <c r="R305" s="432" t="s">
        <v>1488</v>
      </c>
      <c r="S305" s="436">
        <v>2019</v>
      </c>
    </row>
    <row r="306" spans="1:19" ht="56.25">
      <c r="A306" s="457" t="s">
        <v>2485</v>
      </c>
      <c r="B306" s="471" t="s">
        <v>2139</v>
      </c>
      <c r="C306" s="472" t="s">
        <v>389</v>
      </c>
      <c r="D306" s="428" t="s">
        <v>3276</v>
      </c>
      <c r="E306" s="456">
        <v>1.601</v>
      </c>
      <c r="F306" s="456">
        <v>1.601</v>
      </c>
      <c r="G306" s="427" t="s">
        <v>2627</v>
      </c>
      <c r="H306" s="427" t="s">
        <v>3480</v>
      </c>
      <c r="I306" s="456"/>
      <c r="J306" s="458"/>
      <c r="K306" s="473"/>
      <c r="L306" s="456">
        <v>0</v>
      </c>
      <c r="M306" s="458">
        <f>IF(L306="","",L306/F306)</f>
        <v>0</v>
      </c>
      <c r="N306" s="456">
        <v>0</v>
      </c>
      <c r="O306" s="467">
        <f t="shared" si="22"/>
        <v>0</v>
      </c>
      <c r="P306" s="456">
        <v>1.601</v>
      </c>
      <c r="Q306" s="458">
        <f t="shared" si="23"/>
        <v>1</v>
      </c>
      <c r="R306" s="432" t="s">
        <v>1488</v>
      </c>
      <c r="S306" s="436">
        <v>2019</v>
      </c>
    </row>
    <row r="307" spans="1:19" ht="56.25">
      <c r="A307" s="457" t="s">
        <v>2486</v>
      </c>
      <c r="B307" s="471" t="s">
        <v>3275</v>
      </c>
      <c r="C307" s="472" t="s">
        <v>390</v>
      </c>
      <c r="D307" s="428" t="s">
        <v>3276</v>
      </c>
      <c r="E307" s="456">
        <v>0.85</v>
      </c>
      <c r="F307" s="456">
        <v>0.85</v>
      </c>
      <c r="G307" s="427" t="s">
        <v>2645</v>
      </c>
      <c r="H307" s="427" t="s">
        <v>3469</v>
      </c>
      <c r="I307" s="456"/>
      <c r="J307" s="458"/>
      <c r="K307" s="473"/>
      <c r="L307" s="456">
        <v>0</v>
      </c>
      <c r="M307" s="458">
        <f t="shared" ref="M307:M364" si="26">IF(L307="","",L307/F307)</f>
        <v>0</v>
      </c>
      <c r="N307" s="456">
        <v>0</v>
      </c>
      <c r="O307" s="467">
        <f t="shared" si="22"/>
        <v>0</v>
      </c>
      <c r="P307" s="456">
        <v>0.85</v>
      </c>
      <c r="Q307" s="458">
        <f t="shared" si="23"/>
        <v>1</v>
      </c>
      <c r="R307" s="432" t="s">
        <v>1488</v>
      </c>
      <c r="S307" s="436">
        <v>2019</v>
      </c>
    </row>
    <row r="308" spans="1:19" ht="56.25">
      <c r="A308" s="457" t="s">
        <v>2487</v>
      </c>
      <c r="B308" s="471">
        <v>739025</v>
      </c>
      <c r="C308" s="472" t="s">
        <v>391</v>
      </c>
      <c r="D308" s="428" t="s">
        <v>3276</v>
      </c>
      <c r="E308" s="456">
        <v>0.36099999999999999</v>
      </c>
      <c r="F308" s="456">
        <v>0.36099999999999999</v>
      </c>
      <c r="G308" s="427" t="s">
        <v>2627</v>
      </c>
      <c r="H308" s="427" t="s">
        <v>3477</v>
      </c>
      <c r="I308" s="456"/>
      <c r="J308" s="458"/>
      <c r="K308" s="473"/>
      <c r="L308" s="456">
        <v>0</v>
      </c>
      <c r="M308" s="458">
        <f t="shared" si="26"/>
        <v>0</v>
      </c>
      <c r="N308" s="456">
        <v>0</v>
      </c>
      <c r="O308" s="467">
        <f t="shared" si="22"/>
        <v>0</v>
      </c>
      <c r="P308" s="456">
        <v>0.36099999999999999</v>
      </c>
      <c r="Q308" s="458">
        <f t="shared" si="23"/>
        <v>1</v>
      </c>
      <c r="R308" s="432" t="s">
        <v>1488</v>
      </c>
      <c r="S308" s="436">
        <v>2019</v>
      </c>
    </row>
    <row r="309" spans="1:19" ht="56.25">
      <c r="A309" s="457" t="s">
        <v>2488</v>
      </c>
      <c r="B309" s="471">
        <v>740121</v>
      </c>
      <c r="C309" s="472" t="s">
        <v>392</v>
      </c>
      <c r="D309" s="428" t="s">
        <v>3276</v>
      </c>
      <c r="E309" s="456">
        <v>0.55300000000000005</v>
      </c>
      <c r="F309" s="456">
        <v>0.55300000000000005</v>
      </c>
      <c r="G309" s="427" t="s">
        <v>3480</v>
      </c>
      <c r="H309" s="427" t="s">
        <v>3479</v>
      </c>
      <c r="I309" s="456"/>
      <c r="J309" s="458"/>
      <c r="K309" s="473"/>
      <c r="L309" s="456">
        <v>0</v>
      </c>
      <c r="M309" s="458">
        <f t="shared" si="26"/>
        <v>0</v>
      </c>
      <c r="N309" s="456">
        <v>0</v>
      </c>
      <c r="O309" s="467">
        <f t="shared" si="22"/>
        <v>0</v>
      </c>
      <c r="P309" s="456">
        <v>0.55300000000000005</v>
      </c>
      <c r="Q309" s="458">
        <f t="shared" si="23"/>
        <v>1</v>
      </c>
      <c r="R309" s="432" t="s">
        <v>1488</v>
      </c>
      <c r="S309" s="436">
        <v>2019</v>
      </c>
    </row>
    <row r="310" spans="1:19" ht="56.25">
      <c r="A310" s="457" t="s">
        <v>2489</v>
      </c>
      <c r="B310" s="471">
        <v>735586</v>
      </c>
      <c r="C310" s="472" t="s">
        <v>393</v>
      </c>
      <c r="D310" s="428" t="s">
        <v>3276</v>
      </c>
      <c r="E310" s="456">
        <v>0.93100000000000005</v>
      </c>
      <c r="F310" s="456">
        <v>0.93100000000000005</v>
      </c>
      <c r="G310" s="427" t="s">
        <v>2674</v>
      </c>
      <c r="H310" s="427" t="s">
        <v>3484</v>
      </c>
      <c r="I310" s="456"/>
      <c r="J310" s="458"/>
      <c r="K310" s="473"/>
      <c r="L310" s="456">
        <v>0</v>
      </c>
      <c r="M310" s="458">
        <f t="shared" si="26"/>
        <v>0</v>
      </c>
      <c r="N310" s="456">
        <v>0</v>
      </c>
      <c r="O310" s="467">
        <f t="shared" si="22"/>
        <v>0</v>
      </c>
      <c r="P310" s="456">
        <v>0.93100000000000005</v>
      </c>
      <c r="Q310" s="458">
        <f t="shared" si="23"/>
        <v>1</v>
      </c>
      <c r="R310" s="432" t="s">
        <v>1488</v>
      </c>
      <c r="S310" s="436">
        <v>2019</v>
      </c>
    </row>
    <row r="311" spans="1:19" ht="56.25">
      <c r="A311" s="457" t="s">
        <v>2490</v>
      </c>
      <c r="B311" s="471">
        <v>737573</v>
      </c>
      <c r="C311" s="472" t="s">
        <v>394</v>
      </c>
      <c r="D311" s="428" t="s">
        <v>3276</v>
      </c>
      <c r="E311" s="456">
        <v>0.56699999999999995</v>
      </c>
      <c r="F311" s="456">
        <v>0.56699999999999995</v>
      </c>
      <c r="G311" s="427" t="s">
        <v>2645</v>
      </c>
      <c r="H311" s="427" t="s">
        <v>3485</v>
      </c>
      <c r="I311" s="456"/>
      <c r="J311" s="458"/>
      <c r="K311" s="473"/>
      <c r="L311" s="456">
        <v>0</v>
      </c>
      <c r="M311" s="458">
        <f t="shared" si="26"/>
        <v>0</v>
      </c>
      <c r="N311" s="456">
        <v>0</v>
      </c>
      <c r="O311" s="467">
        <f t="shared" ref="O311:O365" si="27">N311/F311</f>
        <v>0</v>
      </c>
      <c r="P311" s="456">
        <v>0.56699999999999995</v>
      </c>
      <c r="Q311" s="458">
        <f t="shared" ref="Q311:Q365" si="28">P311/F311</f>
        <v>1</v>
      </c>
      <c r="R311" s="432" t="s">
        <v>1488</v>
      </c>
      <c r="S311" s="436">
        <v>2019</v>
      </c>
    </row>
    <row r="312" spans="1:19" ht="56.25">
      <c r="A312" s="457" t="s">
        <v>2491</v>
      </c>
      <c r="B312" s="471">
        <v>735608</v>
      </c>
      <c r="C312" s="472" t="s">
        <v>395</v>
      </c>
      <c r="D312" s="428" t="s">
        <v>3276</v>
      </c>
      <c r="E312" s="456">
        <v>0.98499999999999999</v>
      </c>
      <c r="F312" s="456">
        <v>0.98499999999999999</v>
      </c>
      <c r="G312" s="427" t="s">
        <v>3486</v>
      </c>
      <c r="H312" s="427" t="s">
        <v>3487</v>
      </c>
      <c r="I312" s="456"/>
      <c r="J312" s="458"/>
      <c r="K312" s="473"/>
      <c r="L312" s="456">
        <v>0</v>
      </c>
      <c r="M312" s="458">
        <f t="shared" si="26"/>
        <v>0</v>
      </c>
      <c r="N312" s="456">
        <v>0</v>
      </c>
      <c r="O312" s="467">
        <f t="shared" si="27"/>
        <v>0</v>
      </c>
      <c r="P312" s="456">
        <v>0.98499999999999999</v>
      </c>
      <c r="Q312" s="458">
        <f t="shared" si="28"/>
        <v>1</v>
      </c>
      <c r="R312" s="432" t="s">
        <v>1488</v>
      </c>
      <c r="S312" s="436">
        <v>2019</v>
      </c>
    </row>
    <row r="313" spans="1:19" ht="56.25">
      <c r="A313" s="457" t="s">
        <v>2492</v>
      </c>
      <c r="B313" s="471">
        <v>735585</v>
      </c>
      <c r="C313" s="472" t="s">
        <v>396</v>
      </c>
      <c r="D313" s="428" t="s">
        <v>3276</v>
      </c>
      <c r="E313" s="456">
        <v>0.81499999999999995</v>
      </c>
      <c r="F313" s="456">
        <v>0.81499999999999995</v>
      </c>
      <c r="G313" s="427" t="s">
        <v>2627</v>
      </c>
      <c r="H313" s="427" t="s">
        <v>3488</v>
      </c>
      <c r="I313" s="456"/>
      <c r="J313" s="458"/>
      <c r="K313" s="473"/>
      <c r="L313" s="456">
        <v>0</v>
      </c>
      <c r="M313" s="458">
        <f t="shared" si="26"/>
        <v>0</v>
      </c>
      <c r="N313" s="456">
        <v>0</v>
      </c>
      <c r="O313" s="467">
        <f t="shared" si="27"/>
        <v>0</v>
      </c>
      <c r="P313" s="456">
        <v>0.81499999999999995</v>
      </c>
      <c r="Q313" s="458">
        <f t="shared" si="28"/>
        <v>1</v>
      </c>
      <c r="R313" s="432" t="s">
        <v>1488</v>
      </c>
      <c r="S313" s="436">
        <v>2019</v>
      </c>
    </row>
    <row r="314" spans="1:19" ht="56.25">
      <c r="A314" s="457" t="s">
        <v>2493</v>
      </c>
      <c r="B314" s="471">
        <v>742995</v>
      </c>
      <c r="C314" s="472" t="s">
        <v>397</v>
      </c>
      <c r="D314" s="428" t="s">
        <v>3276</v>
      </c>
      <c r="E314" s="456">
        <v>0.14799999999999999</v>
      </c>
      <c r="F314" s="456">
        <v>0.14799999999999999</v>
      </c>
      <c r="G314" s="427" t="s">
        <v>2627</v>
      </c>
      <c r="H314" s="427" t="s">
        <v>3489</v>
      </c>
      <c r="I314" s="456"/>
      <c r="J314" s="458"/>
      <c r="K314" s="473"/>
      <c r="L314" s="456">
        <v>0</v>
      </c>
      <c r="M314" s="458">
        <f t="shared" si="26"/>
        <v>0</v>
      </c>
      <c r="N314" s="456">
        <v>0</v>
      </c>
      <c r="O314" s="467">
        <f t="shared" si="27"/>
        <v>0</v>
      </c>
      <c r="P314" s="456">
        <v>0.14799999999999999</v>
      </c>
      <c r="Q314" s="458">
        <f t="shared" si="28"/>
        <v>1</v>
      </c>
      <c r="R314" s="432" t="s">
        <v>1488</v>
      </c>
      <c r="S314" s="436">
        <v>2019</v>
      </c>
    </row>
    <row r="315" spans="1:19" ht="75">
      <c r="A315" s="457" t="s">
        <v>2494</v>
      </c>
      <c r="B315" s="471">
        <v>739789</v>
      </c>
      <c r="C315" s="472" t="s">
        <v>398</v>
      </c>
      <c r="D315" s="428" t="s">
        <v>3276</v>
      </c>
      <c r="E315" s="456">
        <v>0.38800000000000001</v>
      </c>
      <c r="F315" s="456">
        <v>0.38800000000000001</v>
      </c>
      <c r="G315" s="427" t="s">
        <v>2645</v>
      </c>
      <c r="H315" s="427" t="s">
        <v>3483</v>
      </c>
      <c r="I315" s="456"/>
      <c r="J315" s="458"/>
      <c r="K315" s="473"/>
      <c r="L315" s="456">
        <v>0</v>
      </c>
      <c r="M315" s="458">
        <f t="shared" si="26"/>
        <v>0</v>
      </c>
      <c r="N315" s="456">
        <v>0</v>
      </c>
      <c r="O315" s="467">
        <f t="shared" si="27"/>
        <v>0</v>
      </c>
      <c r="P315" s="456">
        <v>0.38800000000000001</v>
      </c>
      <c r="Q315" s="458">
        <f t="shared" si="28"/>
        <v>1</v>
      </c>
      <c r="R315" s="432" t="s">
        <v>1488</v>
      </c>
      <c r="S315" s="436">
        <v>2019</v>
      </c>
    </row>
    <row r="316" spans="1:19" ht="56.25">
      <c r="A316" s="457" t="s">
        <v>2495</v>
      </c>
      <c r="B316" s="471">
        <v>737892</v>
      </c>
      <c r="C316" s="472" t="s">
        <v>399</v>
      </c>
      <c r="D316" s="428" t="s">
        <v>3276</v>
      </c>
      <c r="E316" s="456">
        <v>1.0449999999999999</v>
      </c>
      <c r="F316" s="456">
        <v>1.0449999999999999</v>
      </c>
      <c r="G316" s="427" t="s">
        <v>2645</v>
      </c>
      <c r="H316" s="427" t="s">
        <v>2672</v>
      </c>
      <c r="I316" s="456"/>
      <c r="J316" s="458"/>
      <c r="K316" s="473"/>
      <c r="L316" s="456">
        <v>0</v>
      </c>
      <c r="M316" s="458">
        <f t="shared" si="26"/>
        <v>0</v>
      </c>
      <c r="N316" s="456">
        <v>0</v>
      </c>
      <c r="O316" s="467">
        <f t="shared" si="27"/>
        <v>0</v>
      </c>
      <c r="P316" s="456">
        <v>1.0449999999999999</v>
      </c>
      <c r="Q316" s="458">
        <f t="shared" si="28"/>
        <v>1</v>
      </c>
      <c r="R316" s="432" t="s">
        <v>1488</v>
      </c>
      <c r="S316" s="436">
        <v>2019</v>
      </c>
    </row>
    <row r="317" spans="1:19" ht="56.25">
      <c r="A317" s="457" t="s">
        <v>2496</v>
      </c>
      <c r="B317" s="471">
        <v>741091</v>
      </c>
      <c r="C317" s="472" t="s">
        <v>400</v>
      </c>
      <c r="D317" s="428" t="s">
        <v>3276</v>
      </c>
      <c r="E317" s="456">
        <v>0.21099999999999999</v>
      </c>
      <c r="F317" s="456">
        <v>0.21099999999999999</v>
      </c>
      <c r="G317" s="427" t="s">
        <v>2645</v>
      </c>
      <c r="H317" s="427" t="s">
        <v>2646</v>
      </c>
      <c r="I317" s="456"/>
      <c r="J317" s="458"/>
      <c r="K317" s="473"/>
      <c r="L317" s="456">
        <v>0</v>
      </c>
      <c r="M317" s="458">
        <f t="shared" si="26"/>
        <v>0</v>
      </c>
      <c r="N317" s="456">
        <v>0</v>
      </c>
      <c r="O317" s="467">
        <f t="shared" si="27"/>
        <v>0</v>
      </c>
      <c r="P317" s="456">
        <v>0.21099999999999999</v>
      </c>
      <c r="Q317" s="458">
        <f t="shared" si="28"/>
        <v>1</v>
      </c>
      <c r="R317" s="432" t="s">
        <v>1488</v>
      </c>
      <c r="S317" s="436">
        <v>2019</v>
      </c>
    </row>
    <row r="318" spans="1:19" ht="56.25">
      <c r="A318" s="457" t="s">
        <v>2497</v>
      </c>
      <c r="B318" s="471">
        <v>741092</v>
      </c>
      <c r="C318" s="472" t="s">
        <v>401</v>
      </c>
      <c r="D318" s="428" t="s">
        <v>3276</v>
      </c>
      <c r="E318" s="456">
        <v>0.186</v>
      </c>
      <c r="F318" s="456">
        <v>0.186</v>
      </c>
      <c r="G318" s="427" t="s">
        <v>2627</v>
      </c>
      <c r="H318" s="427" t="s">
        <v>3490</v>
      </c>
      <c r="I318" s="456"/>
      <c r="J318" s="458"/>
      <c r="K318" s="473"/>
      <c r="L318" s="456">
        <v>0</v>
      </c>
      <c r="M318" s="458">
        <f t="shared" si="26"/>
        <v>0</v>
      </c>
      <c r="N318" s="456">
        <v>0</v>
      </c>
      <c r="O318" s="467">
        <f t="shared" si="27"/>
        <v>0</v>
      </c>
      <c r="P318" s="456">
        <v>0.186</v>
      </c>
      <c r="Q318" s="458">
        <f t="shared" si="28"/>
        <v>1</v>
      </c>
      <c r="R318" s="432" t="s">
        <v>1488</v>
      </c>
      <c r="S318" s="436">
        <v>2019</v>
      </c>
    </row>
    <row r="319" spans="1:19" ht="56.25">
      <c r="A319" s="457" t="s">
        <v>2498</v>
      </c>
      <c r="B319" s="471">
        <v>741093</v>
      </c>
      <c r="C319" s="472" t="s">
        <v>402</v>
      </c>
      <c r="D319" s="428" t="s">
        <v>3276</v>
      </c>
      <c r="E319" s="456">
        <v>0.29599999999999999</v>
      </c>
      <c r="F319" s="456">
        <v>0.29599999999999999</v>
      </c>
      <c r="G319" s="427" t="s">
        <v>3328</v>
      </c>
      <c r="H319" s="427" t="s">
        <v>3480</v>
      </c>
      <c r="I319" s="456"/>
      <c r="J319" s="458"/>
      <c r="K319" s="473"/>
      <c r="L319" s="456">
        <v>0</v>
      </c>
      <c r="M319" s="458">
        <f t="shared" si="26"/>
        <v>0</v>
      </c>
      <c r="N319" s="456">
        <v>0</v>
      </c>
      <c r="O319" s="467">
        <f t="shared" si="27"/>
        <v>0</v>
      </c>
      <c r="P319" s="456">
        <v>0.29599999999999999</v>
      </c>
      <c r="Q319" s="458">
        <f t="shared" si="28"/>
        <v>1</v>
      </c>
      <c r="R319" s="432" t="s">
        <v>1488</v>
      </c>
      <c r="S319" s="436">
        <v>2019</v>
      </c>
    </row>
    <row r="320" spans="1:19" ht="56.25">
      <c r="A320" s="457" t="s">
        <v>2499</v>
      </c>
      <c r="B320" s="471">
        <v>736896</v>
      </c>
      <c r="C320" s="472" t="s">
        <v>403</v>
      </c>
      <c r="D320" s="428" t="s">
        <v>3276</v>
      </c>
      <c r="E320" s="456">
        <v>0.42599999999999999</v>
      </c>
      <c r="F320" s="456">
        <v>0.42599999999999999</v>
      </c>
      <c r="G320" s="427" t="s">
        <v>2627</v>
      </c>
      <c r="H320" s="427" t="s">
        <v>3463</v>
      </c>
      <c r="I320" s="456"/>
      <c r="J320" s="458"/>
      <c r="K320" s="473"/>
      <c r="L320" s="456">
        <v>0</v>
      </c>
      <c r="M320" s="458">
        <f t="shared" si="26"/>
        <v>0</v>
      </c>
      <c r="N320" s="456">
        <v>0</v>
      </c>
      <c r="O320" s="467">
        <f t="shared" si="27"/>
        <v>0</v>
      </c>
      <c r="P320" s="456">
        <v>0.42599999999999999</v>
      </c>
      <c r="Q320" s="458">
        <f t="shared" si="28"/>
        <v>1</v>
      </c>
      <c r="R320" s="432" t="s">
        <v>1488</v>
      </c>
      <c r="S320" s="436">
        <v>2019</v>
      </c>
    </row>
    <row r="321" spans="1:19" ht="56.25">
      <c r="A321" s="457" t="s">
        <v>2500</v>
      </c>
      <c r="B321" s="471">
        <v>736175</v>
      </c>
      <c r="C321" s="472" t="s">
        <v>404</v>
      </c>
      <c r="D321" s="428" t="s">
        <v>3276</v>
      </c>
      <c r="E321" s="456">
        <v>0.55200000000000005</v>
      </c>
      <c r="F321" s="456">
        <v>0.55200000000000005</v>
      </c>
      <c r="G321" s="427" t="s">
        <v>3491</v>
      </c>
      <c r="H321" s="427" t="s">
        <v>3477</v>
      </c>
      <c r="I321" s="456"/>
      <c r="J321" s="458"/>
      <c r="K321" s="473"/>
      <c r="L321" s="456">
        <v>0</v>
      </c>
      <c r="M321" s="458">
        <f t="shared" si="26"/>
        <v>0</v>
      </c>
      <c r="N321" s="456">
        <v>0</v>
      </c>
      <c r="O321" s="467">
        <f t="shared" si="27"/>
        <v>0</v>
      </c>
      <c r="P321" s="456">
        <v>0.55200000000000005</v>
      </c>
      <c r="Q321" s="458">
        <f t="shared" si="28"/>
        <v>1</v>
      </c>
      <c r="R321" s="432" t="s">
        <v>1488</v>
      </c>
      <c r="S321" s="436">
        <v>2019</v>
      </c>
    </row>
    <row r="322" spans="1:19" ht="56.25">
      <c r="A322" s="457" t="s">
        <v>2501</v>
      </c>
      <c r="B322" s="471">
        <v>735595</v>
      </c>
      <c r="C322" s="472" t="s">
        <v>405</v>
      </c>
      <c r="D322" s="428" t="s">
        <v>3276</v>
      </c>
      <c r="E322" s="456">
        <v>0.38600000000000001</v>
      </c>
      <c r="F322" s="456">
        <v>0.38600000000000001</v>
      </c>
      <c r="G322" s="427" t="s">
        <v>2643</v>
      </c>
      <c r="H322" s="427" t="s">
        <v>3489</v>
      </c>
      <c r="I322" s="456"/>
      <c r="J322" s="458"/>
      <c r="K322" s="473"/>
      <c r="L322" s="456">
        <v>0</v>
      </c>
      <c r="M322" s="458">
        <f t="shared" si="26"/>
        <v>0</v>
      </c>
      <c r="N322" s="456">
        <v>0</v>
      </c>
      <c r="O322" s="467">
        <f t="shared" si="27"/>
        <v>0</v>
      </c>
      <c r="P322" s="456">
        <v>0.38600000000000001</v>
      </c>
      <c r="Q322" s="458">
        <f t="shared" si="28"/>
        <v>1</v>
      </c>
      <c r="R322" s="432" t="s">
        <v>1488</v>
      </c>
      <c r="S322" s="436">
        <v>2019</v>
      </c>
    </row>
    <row r="323" spans="1:19" ht="56.25">
      <c r="A323" s="457" t="s">
        <v>2502</v>
      </c>
      <c r="B323" s="471">
        <v>736846</v>
      </c>
      <c r="C323" s="472" t="s">
        <v>406</v>
      </c>
      <c r="D323" s="428" t="s">
        <v>3276</v>
      </c>
      <c r="E323" s="456">
        <v>1.1759999999999999</v>
      </c>
      <c r="F323" s="456">
        <v>1.1759999999999999</v>
      </c>
      <c r="G323" s="427" t="s">
        <v>3492</v>
      </c>
      <c r="H323" s="427" t="s">
        <v>2636</v>
      </c>
      <c r="I323" s="456"/>
      <c r="J323" s="458"/>
      <c r="K323" s="473"/>
      <c r="L323" s="456">
        <v>0</v>
      </c>
      <c r="M323" s="458">
        <f t="shared" si="26"/>
        <v>0</v>
      </c>
      <c r="N323" s="456">
        <v>0</v>
      </c>
      <c r="O323" s="467">
        <f t="shared" si="27"/>
        <v>0</v>
      </c>
      <c r="P323" s="456">
        <v>1.1759999999999999</v>
      </c>
      <c r="Q323" s="458">
        <f t="shared" si="28"/>
        <v>1</v>
      </c>
      <c r="R323" s="432" t="s">
        <v>1488</v>
      </c>
      <c r="S323" s="436">
        <v>2019</v>
      </c>
    </row>
    <row r="324" spans="1:19" ht="56.25">
      <c r="A324" s="457" t="s">
        <v>2503</v>
      </c>
      <c r="B324" s="471">
        <v>736055</v>
      </c>
      <c r="C324" s="472" t="s">
        <v>407</v>
      </c>
      <c r="D324" s="428" t="s">
        <v>3276</v>
      </c>
      <c r="E324" s="456">
        <v>0.248</v>
      </c>
      <c r="F324" s="456">
        <v>0.248</v>
      </c>
      <c r="G324" s="427" t="s">
        <v>3470</v>
      </c>
      <c r="H324" s="427" t="s">
        <v>3493</v>
      </c>
      <c r="I324" s="456"/>
      <c r="J324" s="458"/>
      <c r="K324" s="473"/>
      <c r="L324" s="456">
        <v>0</v>
      </c>
      <c r="M324" s="458">
        <f t="shared" si="26"/>
        <v>0</v>
      </c>
      <c r="N324" s="456">
        <v>0</v>
      </c>
      <c r="O324" s="467">
        <f t="shared" si="27"/>
        <v>0</v>
      </c>
      <c r="P324" s="456">
        <v>0.248</v>
      </c>
      <c r="Q324" s="458">
        <f t="shared" si="28"/>
        <v>1</v>
      </c>
      <c r="R324" s="432" t="s">
        <v>1488</v>
      </c>
      <c r="S324" s="436">
        <v>2019</v>
      </c>
    </row>
    <row r="325" spans="1:19" ht="56.25">
      <c r="A325" s="457" t="s">
        <v>2504</v>
      </c>
      <c r="B325" s="471">
        <v>749954</v>
      </c>
      <c r="C325" s="472" t="s">
        <v>408</v>
      </c>
      <c r="D325" s="428" t="s">
        <v>3276</v>
      </c>
      <c r="E325" s="456">
        <v>0.15</v>
      </c>
      <c r="F325" s="456">
        <v>0.15</v>
      </c>
      <c r="G325" s="427" t="s">
        <v>2627</v>
      </c>
      <c r="H325" s="427" t="s">
        <v>3480</v>
      </c>
      <c r="I325" s="456"/>
      <c r="J325" s="458"/>
      <c r="K325" s="473"/>
      <c r="L325" s="456">
        <v>0</v>
      </c>
      <c r="M325" s="458">
        <f t="shared" si="26"/>
        <v>0</v>
      </c>
      <c r="N325" s="456">
        <v>0</v>
      </c>
      <c r="O325" s="467">
        <f t="shared" si="27"/>
        <v>0</v>
      </c>
      <c r="P325" s="456">
        <v>0.15</v>
      </c>
      <c r="Q325" s="458">
        <f t="shared" si="28"/>
        <v>1</v>
      </c>
      <c r="R325" s="432" t="s">
        <v>1488</v>
      </c>
      <c r="S325" s="436">
        <v>2019</v>
      </c>
    </row>
    <row r="326" spans="1:19" ht="56.25">
      <c r="A326" s="457" t="s">
        <v>2505</v>
      </c>
      <c r="B326" s="471">
        <v>736507</v>
      </c>
      <c r="C326" s="472" t="s">
        <v>409</v>
      </c>
      <c r="D326" s="428" t="s">
        <v>3276</v>
      </c>
      <c r="E326" s="456">
        <v>0.3</v>
      </c>
      <c r="F326" s="456">
        <v>0.3</v>
      </c>
      <c r="G326" s="427" t="s">
        <v>2645</v>
      </c>
      <c r="H326" s="427" t="s">
        <v>3469</v>
      </c>
      <c r="I326" s="456"/>
      <c r="J326" s="458"/>
      <c r="K326" s="473"/>
      <c r="L326" s="456">
        <v>0</v>
      </c>
      <c r="M326" s="458">
        <f t="shared" si="26"/>
        <v>0</v>
      </c>
      <c r="N326" s="456">
        <v>0</v>
      </c>
      <c r="O326" s="467">
        <f t="shared" si="27"/>
        <v>0</v>
      </c>
      <c r="P326" s="456">
        <v>0.3</v>
      </c>
      <c r="Q326" s="458">
        <f t="shared" si="28"/>
        <v>1</v>
      </c>
      <c r="R326" s="432" t="s">
        <v>1488</v>
      </c>
      <c r="S326" s="436">
        <v>2019</v>
      </c>
    </row>
    <row r="327" spans="1:19" ht="56.25">
      <c r="A327" s="457" t="s">
        <v>2506</v>
      </c>
      <c r="B327" s="471">
        <v>737512</v>
      </c>
      <c r="C327" s="472" t="s">
        <v>410</v>
      </c>
      <c r="D327" s="428" t="s">
        <v>3276</v>
      </c>
      <c r="E327" s="456">
        <v>1.6619999999999999</v>
      </c>
      <c r="F327" s="456">
        <v>1.6619999999999999</v>
      </c>
      <c r="G327" s="427" t="s">
        <v>2627</v>
      </c>
      <c r="H327" s="427" t="s">
        <v>3477</v>
      </c>
      <c r="I327" s="456"/>
      <c r="J327" s="458"/>
      <c r="K327" s="473"/>
      <c r="L327" s="456">
        <v>0</v>
      </c>
      <c r="M327" s="458">
        <f t="shared" si="26"/>
        <v>0</v>
      </c>
      <c r="N327" s="456">
        <v>0</v>
      </c>
      <c r="O327" s="467">
        <f t="shared" si="27"/>
        <v>0</v>
      </c>
      <c r="P327" s="456">
        <v>1.6619999999999999</v>
      </c>
      <c r="Q327" s="458">
        <f t="shared" si="28"/>
        <v>1</v>
      </c>
      <c r="R327" s="432" t="s">
        <v>1488</v>
      </c>
      <c r="S327" s="436">
        <v>2019</v>
      </c>
    </row>
    <row r="328" spans="1:19" ht="56.25">
      <c r="A328" s="457" t="s">
        <v>2507</v>
      </c>
      <c r="B328" s="471">
        <v>739685</v>
      </c>
      <c r="C328" s="472" t="s">
        <v>411</v>
      </c>
      <c r="D328" s="428" t="s">
        <v>3276</v>
      </c>
      <c r="E328" s="456">
        <v>1.0620000000000001</v>
      </c>
      <c r="F328" s="456">
        <v>1.0620000000000001</v>
      </c>
      <c r="G328" s="427" t="s">
        <v>3480</v>
      </c>
      <c r="H328" s="427" t="s">
        <v>3479</v>
      </c>
      <c r="I328" s="456"/>
      <c r="J328" s="458"/>
      <c r="K328" s="473"/>
      <c r="L328" s="456">
        <v>0</v>
      </c>
      <c r="M328" s="458">
        <f t="shared" si="26"/>
        <v>0</v>
      </c>
      <c r="N328" s="456">
        <v>0</v>
      </c>
      <c r="O328" s="467">
        <f t="shared" si="27"/>
        <v>0</v>
      </c>
      <c r="P328" s="456">
        <v>1.0620000000000001</v>
      </c>
      <c r="Q328" s="458">
        <f t="shared" si="28"/>
        <v>1</v>
      </c>
      <c r="R328" s="432" t="s">
        <v>1488</v>
      </c>
      <c r="S328" s="436">
        <v>2019</v>
      </c>
    </row>
    <row r="329" spans="1:19" ht="56.25">
      <c r="A329" s="457" t="s">
        <v>2508</v>
      </c>
      <c r="B329" s="471">
        <v>2795105</v>
      </c>
      <c r="C329" s="472" t="s">
        <v>412</v>
      </c>
      <c r="D329" s="428" t="s">
        <v>3276</v>
      </c>
      <c r="E329" s="456">
        <v>0.35</v>
      </c>
      <c r="F329" s="456">
        <v>0.35</v>
      </c>
      <c r="G329" s="427" t="s">
        <v>2674</v>
      </c>
      <c r="H329" s="427" t="s">
        <v>3484</v>
      </c>
      <c r="I329" s="456"/>
      <c r="J329" s="458"/>
      <c r="K329" s="473"/>
      <c r="L329" s="456">
        <v>0</v>
      </c>
      <c r="M329" s="458">
        <f t="shared" si="26"/>
        <v>0</v>
      </c>
      <c r="N329" s="456">
        <v>0</v>
      </c>
      <c r="O329" s="467">
        <f t="shared" si="27"/>
        <v>0</v>
      </c>
      <c r="P329" s="456">
        <v>0.35</v>
      </c>
      <c r="Q329" s="458">
        <f t="shared" si="28"/>
        <v>1</v>
      </c>
      <c r="R329" s="432" t="s">
        <v>1488</v>
      </c>
      <c r="S329" s="436">
        <v>2019</v>
      </c>
    </row>
    <row r="330" spans="1:19" ht="56.25">
      <c r="A330" s="457" t="s">
        <v>2509</v>
      </c>
      <c r="B330" s="471">
        <v>736323</v>
      </c>
      <c r="C330" s="472" t="s">
        <v>413</v>
      </c>
      <c r="D330" s="428" t="s">
        <v>3276</v>
      </c>
      <c r="E330" s="456">
        <v>0.90600000000000003</v>
      </c>
      <c r="F330" s="456">
        <v>0.90600000000000003</v>
      </c>
      <c r="G330" s="427" t="s">
        <v>2645</v>
      </c>
      <c r="H330" s="427" t="s">
        <v>3485</v>
      </c>
      <c r="I330" s="456"/>
      <c r="J330" s="458"/>
      <c r="K330" s="473"/>
      <c r="L330" s="456">
        <v>0</v>
      </c>
      <c r="M330" s="458">
        <f t="shared" si="26"/>
        <v>0</v>
      </c>
      <c r="N330" s="456">
        <v>0</v>
      </c>
      <c r="O330" s="467">
        <f t="shared" si="27"/>
        <v>0</v>
      </c>
      <c r="P330" s="456">
        <v>0.90600000000000003</v>
      </c>
      <c r="Q330" s="458">
        <f t="shared" si="28"/>
        <v>1</v>
      </c>
      <c r="R330" s="432" t="s">
        <v>1488</v>
      </c>
      <c r="S330" s="436">
        <v>2019</v>
      </c>
    </row>
    <row r="331" spans="1:19" ht="56.25">
      <c r="A331" s="457" t="s">
        <v>2510</v>
      </c>
      <c r="B331" s="471">
        <v>737302</v>
      </c>
      <c r="C331" s="472" t="s">
        <v>414</v>
      </c>
      <c r="D331" s="428" t="s">
        <v>3276</v>
      </c>
      <c r="E331" s="456">
        <v>0.31</v>
      </c>
      <c r="F331" s="456">
        <v>0.31</v>
      </c>
      <c r="G331" s="427" t="s">
        <v>3486</v>
      </c>
      <c r="H331" s="427" t="s">
        <v>3487</v>
      </c>
      <c r="I331" s="456"/>
      <c r="J331" s="458"/>
      <c r="K331" s="473"/>
      <c r="L331" s="456">
        <v>0</v>
      </c>
      <c r="M331" s="458">
        <f t="shared" si="26"/>
        <v>0</v>
      </c>
      <c r="N331" s="456">
        <v>0</v>
      </c>
      <c r="O331" s="467">
        <f t="shared" si="27"/>
        <v>0</v>
      </c>
      <c r="P331" s="456">
        <v>0.31</v>
      </c>
      <c r="Q331" s="458">
        <f t="shared" si="28"/>
        <v>1</v>
      </c>
      <c r="R331" s="432" t="s">
        <v>1488</v>
      </c>
      <c r="S331" s="436">
        <v>2019</v>
      </c>
    </row>
    <row r="332" spans="1:19" ht="56.25">
      <c r="A332" s="457" t="s">
        <v>2511</v>
      </c>
      <c r="B332" s="471">
        <v>740692</v>
      </c>
      <c r="C332" s="472" t="s">
        <v>415</v>
      </c>
      <c r="D332" s="428" t="s">
        <v>3276</v>
      </c>
      <c r="E332" s="456">
        <v>0.95799999999999996</v>
      </c>
      <c r="F332" s="456">
        <v>0.95799999999999996</v>
      </c>
      <c r="G332" s="427" t="s">
        <v>2627</v>
      </c>
      <c r="H332" s="427" t="s">
        <v>3488</v>
      </c>
      <c r="I332" s="456"/>
      <c r="J332" s="458"/>
      <c r="K332" s="473"/>
      <c r="L332" s="456">
        <v>0</v>
      </c>
      <c r="M332" s="458">
        <f t="shared" si="26"/>
        <v>0</v>
      </c>
      <c r="N332" s="456">
        <v>0</v>
      </c>
      <c r="O332" s="467">
        <f t="shared" si="27"/>
        <v>0</v>
      </c>
      <c r="P332" s="456">
        <v>0.95799999999999996</v>
      </c>
      <c r="Q332" s="458">
        <f t="shared" si="28"/>
        <v>1</v>
      </c>
      <c r="R332" s="432" t="s">
        <v>1488</v>
      </c>
      <c r="S332" s="436">
        <v>2019</v>
      </c>
    </row>
    <row r="333" spans="1:19" ht="56.25">
      <c r="A333" s="457" t="s">
        <v>2512</v>
      </c>
      <c r="B333" s="471">
        <v>740692</v>
      </c>
      <c r="C333" s="472" t="s">
        <v>416</v>
      </c>
      <c r="D333" s="428" t="s">
        <v>3276</v>
      </c>
      <c r="E333" s="456">
        <v>0.73499999999999999</v>
      </c>
      <c r="F333" s="456">
        <v>0.73499999999999999</v>
      </c>
      <c r="G333" s="427" t="s">
        <v>2627</v>
      </c>
      <c r="H333" s="427" t="s">
        <v>3489</v>
      </c>
      <c r="I333" s="456"/>
      <c r="J333" s="458"/>
      <c r="K333" s="473"/>
      <c r="L333" s="456">
        <v>0</v>
      </c>
      <c r="M333" s="458">
        <f t="shared" si="26"/>
        <v>0</v>
      </c>
      <c r="N333" s="456">
        <v>0</v>
      </c>
      <c r="O333" s="467">
        <f t="shared" si="27"/>
        <v>0</v>
      </c>
      <c r="P333" s="456">
        <v>0.73499999999999999</v>
      </c>
      <c r="Q333" s="458">
        <f t="shared" si="28"/>
        <v>1</v>
      </c>
      <c r="R333" s="432" t="s">
        <v>1488</v>
      </c>
      <c r="S333" s="436">
        <v>2019</v>
      </c>
    </row>
    <row r="334" spans="1:19" ht="56.25">
      <c r="A334" s="457" t="s">
        <v>2513</v>
      </c>
      <c r="B334" s="471">
        <v>736033</v>
      </c>
      <c r="C334" s="472" t="s">
        <v>417</v>
      </c>
      <c r="D334" s="428" t="s">
        <v>3276</v>
      </c>
      <c r="E334" s="456">
        <v>2.08</v>
      </c>
      <c r="F334" s="456">
        <v>2.08</v>
      </c>
      <c r="G334" s="427" t="s">
        <v>2645</v>
      </c>
      <c r="H334" s="427" t="s">
        <v>3483</v>
      </c>
      <c r="I334" s="456"/>
      <c r="J334" s="458"/>
      <c r="K334" s="473"/>
      <c r="L334" s="456">
        <v>0</v>
      </c>
      <c r="M334" s="458">
        <f t="shared" si="26"/>
        <v>0</v>
      </c>
      <c r="N334" s="456">
        <v>0</v>
      </c>
      <c r="O334" s="467">
        <f t="shared" si="27"/>
        <v>0</v>
      </c>
      <c r="P334" s="456">
        <v>2.08</v>
      </c>
      <c r="Q334" s="458">
        <f t="shared" si="28"/>
        <v>1</v>
      </c>
      <c r="R334" s="432" t="s">
        <v>1488</v>
      </c>
      <c r="S334" s="436">
        <v>2019</v>
      </c>
    </row>
    <row r="335" spans="1:19" ht="56.25">
      <c r="A335" s="457" t="s">
        <v>2514</v>
      </c>
      <c r="B335" s="471">
        <v>739606</v>
      </c>
      <c r="C335" s="472" t="s">
        <v>418</v>
      </c>
      <c r="D335" s="428" t="s">
        <v>3276</v>
      </c>
      <c r="E335" s="456">
        <v>0.20499999999999999</v>
      </c>
      <c r="F335" s="456">
        <v>0.20499999999999999</v>
      </c>
      <c r="G335" s="427" t="s">
        <v>2645</v>
      </c>
      <c r="H335" s="427" t="s">
        <v>2672</v>
      </c>
      <c r="I335" s="456"/>
      <c r="J335" s="458"/>
      <c r="K335" s="473"/>
      <c r="L335" s="456">
        <v>0</v>
      </c>
      <c r="M335" s="458">
        <f t="shared" si="26"/>
        <v>0</v>
      </c>
      <c r="N335" s="456">
        <v>0</v>
      </c>
      <c r="O335" s="467">
        <f t="shared" si="27"/>
        <v>0</v>
      </c>
      <c r="P335" s="456">
        <v>0.20499999999999999</v>
      </c>
      <c r="Q335" s="458">
        <f t="shared" si="28"/>
        <v>1</v>
      </c>
      <c r="R335" s="432" t="s">
        <v>1488</v>
      </c>
      <c r="S335" s="436">
        <v>2019</v>
      </c>
    </row>
    <row r="336" spans="1:19" ht="56.25">
      <c r="A336" s="457" t="s">
        <v>2515</v>
      </c>
      <c r="B336" s="471">
        <v>736625</v>
      </c>
      <c r="C336" s="472" t="s">
        <v>419</v>
      </c>
      <c r="D336" s="428" t="s">
        <v>3276</v>
      </c>
      <c r="E336" s="456">
        <v>0.41</v>
      </c>
      <c r="F336" s="456">
        <v>0.41</v>
      </c>
      <c r="G336" s="427" t="s">
        <v>2645</v>
      </c>
      <c r="H336" s="427" t="s">
        <v>2646</v>
      </c>
      <c r="I336" s="456"/>
      <c r="J336" s="458"/>
      <c r="K336" s="473"/>
      <c r="L336" s="456">
        <v>0</v>
      </c>
      <c r="M336" s="458">
        <f t="shared" si="26"/>
        <v>0</v>
      </c>
      <c r="N336" s="456">
        <v>0</v>
      </c>
      <c r="O336" s="467">
        <f t="shared" si="27"/>
        <v>0</v>
      </c>
      <c r="P336" s="456">
        <v>0.41</v>
      </c>
      <c r="Q336" s="458">
        <f t="shared" si="28"/>
        <v>1</v>
      </c>
      <c r="R336" s="432" t="s">
        <v>1488</v>
      </c>
      <c r="S336" s="436">
        <v>2019</v>
      </c>
    </row>
    <row r="337" spans="1:19" ht="56.25">
      <c r="A337" s="457" t="s">
        <v>2516</v>
      </c>
      <c r="B337" s="471">
        <v>738949</v>
      </c>
      <c r="C337" s="472" t="s">
        <v>420</v>
      </c>
      <c r="D337" s="428" t="s">
        <v>3276</v>
      </c>
      <c r="E337" s="456">
        <v>0.73799999999999999</v>
      </c>
      <c r="F337" s="456">
        <v>0.73799999999999999</v>
      </c>
      <c r="G337" s="427" t="s">
        <v>2627</v>
      </c>
      <c r="H337" s="427" t="s">
        <v>3490</v>
      </c>
      <c r="I337" s="456"/>
      <c r="J337" s="458"/>
      <c r="K337" s="473"/>
      <c r="L337" s="456">
        <v>0</v>
      </c>
      <c r="M337" s="458">
        <f t="shared" si="26"/>
        <v>0</v>
      </c>
      <c r="N337" s="456">
        <v>0</v>
      </c>
      <c r="O337" s="467">
        <f t="shared" si="27"/>
        <v>0</v>
      </c>
      <c r="P337" s="456">
        <v>0.73799999999999999</v>
      </c>
      <c r="Q337" s="458">
        <f t="shared" si="28"/>
        <v>1</v>
      </c>
      <c r="R337" s="432" t="s">
        <v>1488</v>
      </c>
      <c r="S337" s="436">
        <v>2019</v>
      </c>
    </row>
    <row r="338" spans="1:19" ht="56.25">
      <c r="A338" s="457" t="s">
        <v>2517</v>
      </c>
      <c r="B338" s="471">
        <v>738853</v>
      </c>
      <c r="C338" s="472" t="s">
        <v>421</v>
      </c>
      <c r="D338" s="428" t="s">
        <v>3276</v>
      </c>
      <c r="E338" s="456">
        <v>0.371</v>
      </c>
      <c r="F338" s="456">
        <v>0.371</v>
      </c>
      <c r="G338" s="427" t="s">
        <v>3328</v>
      </c>
      <c r="H338" s="427" t="s">
        <v>3480</v>
      </c>
      <c r="I338" s="456"/>
      <c r="J338" s="458"/>
      <c r="K338" s="473"/>
      <c r="L338" s="456">
        <v>0</v>
      </c>
      <c r="M338" s="458">
        <f t="shared" si="26"/>
        <v>0</v>
      </c>
      <c r="N338" s="456">
        <v>0</v>
      </c>
      <c r="O338" s="467">
        <f t="shared" si="27"/>
        <v>0</v>
      </c>
      <c r="P338" s="456">
        <v>0.371</v>
      </c>
      <c r="Q338" s="458">
        <f t="shared" si="28"/>
        <v>1</v>
      </c>
      <c r="R338" s="432" t="s">
        <v>1488</v>
      </c>
      <c r="S338" s="436">
        <v>2019</v>
      </c>
    </row>
    <row r="339" spans="1:19" ht="56.25">
      <c r="A339" s="457" t="s">
        <v>2518</v>
      </c>
      <c r="B339" s="471">
        <v>736074</v>
      </c>
      <c r="C339" s="472" t="s">
        <v>422</v>
      </c>
      <c r="D339" s="428" t="s">
        <v>3276</v>
      </c>
      <c r="E339" s="456">
        <v>1.4059999999999999</v>
      </c>
      <c r="F339" s="456">
        <v>1.4059999999999999</v>
      </c>
      <c r="G339" s="427" t="s">
        <v>2627</v>
      </c>
      <c r="H339" s="427" t="s">
        <v>3463</v>
      </c>
      <c r="I339" s="456"/>
      <c r="J339" s="458"/>
      <c r="K339" s="473"/>
      <c r="L339" s="456">
        <v>0</v>
      </c>
      <c r="M339" s="458">
        <f t="shared" si="26"/>
        <v>0</v>
      </c>
      <c r="N339" s="456">
        <v>0</v>
      </c>
      <c r="O339" s="467">
        <f t="shared" si="27"/>
        <v>0</v>
      </c>
      <c r="P339" s="456">
        <v>1.4059999999999999</v>
      </c>
      <c r="Q339" s="458">
        <f t="shared" si="28"/>
        <v>1</v>
      </c>
      <c r="R339" s="432" t="s">
        <v>1488</v>
      </c>
      <c r="S339" s="436">
        <v>2019</v>
      </c>
    </row>
    <row r="340" spans="1:19" ht="56.25">
      <c r="A340" s="457" t="s">
        <v>2519</v>
      </c>
      <c r="B340" s="471">
        <v>736074</v>
      </c>
      <c r="C340" s="472" t="s">
        <v>423</v>
      </c>
      <c r="D340" s="428" t="s">
        <v>3276</v>
      </c>
      <c r="E340" s="456">
        <v>1.5</v>
      </c>
      <c r="F340" s="456">
        <v>1.5</v>
      </c>
      <c r="G340" s="427" t="s">
        <v>3491</v>
      </c>
      <c r="H340" s="427" t="s">
        <v>3477</v>
      </c>
      <c r="I340" s="456"/>
      <c r="J340" s="458"/>
      <c r="K340" s="473"/>
      <c r="L340" s="456">
        <v>0</v>
      </c>
      <c r="M340" s="458">
        <f t="shared" si="26"/>
        <v>0</v>
      </c>
      <c r="N340" s="456">
        <v>0</v>
      </c>
      <c r="O340" s="467">
        <f t="shared" si="27"/>
        <v>0</v>
      </c>
      <c r="P340" s="456">
        <v>1.5</v>
      </c>
      <c r="Q340" s="458">
        <f t="shared" si="28"/>
        <v>1</v>
      </c>
      <c r="R340" s="432" t="s">
        <v>1488</v>
      </c>
      <c r="S340" s="436">
        <v>2019</v>
      </c>
    </row>
    <row r="341" spans="1:19" ht="56.25">
      <c r="A341" s="457" t="s">
        <v>2520</v>
      </c>
      <c r="B341" s="471">
        <v>742853</v>
      </c>
      <c r="C341" s="472" t="s">
        <v>424</v>
      </c>
      <c r="D341" s="428" t="s">
        <v>3276</v>
      </c>
      <c r="E341" s="456">
        <v>0.82899999999999996</v>
      </c>
      <c r="F341" s="456">
        <v>0.82899999999999996</v>
      </c>
      <c r="G341" s="427" t="s">
        <v>2643</v>
      </c>
      <c r="H341" s="427" t="s">
        <v>3489</v>
      </c>
      <c r="I341" s="456"/>
      <c r="J341" s="458"/>
      <c r="K341" s="473"/>
      <c r="L341" s="456">
        <v>0</v>
      </c>
      <c r="M341" s="458">
        <f t="shared" si="26"/>
        <v>0</v>
      </c>
      <c r="N341" s="456">
        <v>0</v>
      </c>
      <c r="O341" s="467">
        <f t="shared" si="27"/>
        <v>0</v>
      </c>
      <c r="P341" s="456">
        <v>0.82899999999999996</v>
      </c>
      <c r="Q341" s="458">
        <f t="shared" si="28"/>
        <v>1</v>
      </c>
      <c r="R341" s="432" t="s">
        <v>1488</v>
      </c>
      <c r="S341" s="436">
        <v>2019</v>
      </c>
    </row>
    <row r="342" spans="1:19" ht="56.25">
      <c r="A342" s="457" t="s">
        <v>2521</v>
      </c>
      <c r="B342" s="471">
        <v>738687</v>
      </c>
      <c r="C342" s="472" t="s">
        <v>425</v>
      </c>
      <c r="D342" s="428" t="s">
        <v>3276</v>
      </c>
      <c r="E342" s="456">
        <v>0.58199999999999996</v>
      </c>
      <c r="F342" s="456">
        <v>0.58199999999999996</v>
      </c>
      <c r="G342" s="427" t="s">
        <v>3492</v>
      </c>
      <c r="H342" s="427" t="s">
        <v>2636</v>
      </c>
      <c r="I342" s="456"/>
      <c r="J342" s="458"/>
      <c r="K342" s="473"/>
      <c r="L342" s="456">
        <v>0</v>
      </c>
      <c r="M342" s="458">
        <f t="shared" si="26"/>
        <v>0</v>
      </c>
      <c r="N342" s="456">
        <v>0</v>
      </c>
      <c r="O342" s="467">
        <f t="shared" si="27"/>
        <v>0</v>
      </c>
      <c r="P342" s="456">
        <v>0.58199999999999996</v>
      </c>
      <c r="Q342" s="458">
        <f t="shared" si="28"/>
        <v>1</v>
      </c>
      <c r="R342" s="432" t="s">
        <v>1488</v>
      </c>
      <c r="S342" s="436">
        <v>2019</v>
      </c>
    </row>
    <row r="343" spans="1:19" ht="56.25">
      <c r="A343" s="457" t="s">
        <v>2522</v>
      </c>
      <c r="B343" s="471">
        <v>2857470</v>
      </c>
      <c r="C343" s="472" t="s">
        <v>426</v>
      </c>
      <c r="D343" s="428" t="s">
        <v>3276</v>
      </c>
      <c r="E343" s="456">
        <v>0.63100000000000001</v>
      </c>
      <c r="F343" s="456">
        <v>0.63100000000000001</v>
      </c>
      <c r="G343" s="427" t="s">
        <v>3470</v>
      </c>
      <c r="H343" s="427" t="s">
        <v>3493</v>
      </c>
      <c r="I343" s="456"/>
      <c r="J343" s="458"/>
      <c r="K343" s="473"/>
      <c r="L343" s="456">
        <v>0</v>
      </c>
      <c r="M343" s="458">
        <f t="shared" si="26"/>
        <v>0</v>
      </c>
      <c r="N343" s="456">
        <v>0</v>
      </c>
      <c r="O343" s="467">
        <f t="shared" si="27"/>
        <v>0</v>
      </c>
      <c r="P343" s="456">
        <v>0.63100000000000001</v>
      </c>
      <c r="Q343" s="458">
        <f t="shared" si="28"/>
        <v>1</v>
      </c>
      <c r="R343" s="432" t="s">
        <v>1488</v>
      </c>
      <c r="S343" s="436">
        <v>2019</v>
      </c>
    </row>
    <row r="344" spans="1:19" ht="56.25">
      <c r="A344" s="457" t="s">
        <v>2523</v>
      </c>
      <c r="B344" s="471">
        <v>735096</v>
      </c>
      <c r="C344" s="472" t="s">
        <v>427</v>
      </c>
      <c r="D344" s="428" t="s">
        <v>3276</v>
      </c>
      <c r="E344" s="456">
        <v>1.3680000000000001</v>
      </c>
      <c r="F344" s="456">
        <v>1.3680000000000001</v>
      </c>
      <c r="G344" s="427" t="s">
        <v>2627</v>
      </c>
      <c r="H344" s="427" t="s">
        <v>3480</v>
      </c>
      <c r="I344" s="456"/>
      <c r="J344" s="458"/>
      <c r="K344" s="473"/>
      <c r="L344" s="456">
        <v>0</v>
      </c>
      <c r="M344" s="458">
        <f t="shared" si="26"/>
        <v>0</v>
      </c>
      <c r="N344" s="456">
        <v>0</v>
      </c>
      <c r="O344" s="467">
        <f t="shared" si="27"/>
        <v>0</v>
      </c>
      <c r="P344" s="456">
        <v>1.3680000000000001</v>
      </c>
      <c r="Q344" s="458">
        <f t="shared" si="28"/>
        <v>1</v>
      </c>
      <c r="R344" s="432" t="s">
        <v>1488</v>
      </c>
      <c r="S344" s="436">
        <v>2019</v>
      </c>
    </row>
    <row r="345" spans="1:19" ht="56.25">
      <c r="A345" s="457" t="s">
        <v>2524</v>
      </c>
      <c r="B345" s="471">
        <v>745213</v>
      </c>
      <c r="C345" s="472" t="s">
        <v>428</v>
      </c>
      <c r="D345" s="428" t="s">
        <v>3276</v>
      </c>
      <c r="E345" s="456">
        <v>0.53300000000000003</v>
      </c>
      <c r="F345" s="456">
        <v>0.53300000000000003</v>
      </c>
      <c r="G345" s="427" t="s">
        <v>2645</v>
      </c>
      <c r="H345" s="427" t="s">
        <v>2646</v>
      </c>
      <c r="I345" s="456"/>
      <c r="J345" s="458"/>
      <c r="K345" s="473"/>
      <c r="L345" s="456">
        <v>0</v>
      </c>
      <c r="M345" s="458">
        <f t="shared" si="26"/>
        <v>0</v>
      </c>
      <c r="N345" s="456">
        <v>0</v>
      </c>
      <c r="O345" s="467">
        <f t="shared" si="27"/>
        <v>0</v>
      </c>
      <c r="P345" s="456">
        <v>0.53300000000000003</v>
      </c>
      <c r="Q345" s="458">
        <f t="shared" si="28"/>
        <v>1</v>
      </c>
      <c r="R345" s="432" t="s">
        <v>1488</v>
      </c>
      <c r="S345" s="436">
        <v>2019</v>
      </c>
    </row>
    <row r="346" spans="1:19" ht="56.25">
      <c r="A346" s="457" t="s">
        <v>2525</v>
      </c>
      <c r="B346" s="471">
        <v>736053</v>
      </c>
      <c r="C346" s="472" t="s">
        <v>429</v>
      </c>
      <c r="D346" s="428" t="s">
        <v>3276</v>
      </c>
      <c r="E346" s="456">
        <v>0.28000000000000003</v>
      </c>
      <c r="F346" s="456">
        <v>0.28000000000000003</v>
      </c>
      <c r="G346" s="427" t="s">
        <v>2627</v>
      </c>
      <c r="H346" s="427" t="s">
        <v>3490</v>
      </c>
      <c r="I346" s="456"/>
      <c r="J346" s="458"/>
      <c r="K346" s="473"/>
      <c r="L346" s="456">
        <v>0</v>
      </c>
      <c r="M346" s="458">
        <f t="shared" si="26"/>
        <v>0</v>
      </c>
      <c r="N346" s="456">
        <v>0</v>
      </c>
      <c r="O346" s="467">
        <f t="shared" si="27"/>
        <v>0</v>
      </c>
      <c r="P346" s="456">
        <v>0.28000000000000003</v>
      </c>
      <c r="Q346" s="458">
        <f t="shared" si="28"/>
        <v>1</v>
      </c>
      <c r="R346" s="432" t="s">
        <v>1488</v>
      </c>
      <c r="S346" s="436">
        <v>2019</v>
      </c>
    </row>
    <row r="347" spans="1:19" ht="56.25">
      <c r="A347" s="457" t="s">
        <v>2526</v>
      </c>
      <c r="B347" s="471">
        <v>736838</v>
      </c>
      <c r="C347" s="472" t="s">
        <v>430</v>
      </c>
      <c r="D347" s="428" t="s">
        <v>3276</v>
      </c>
      <c r="E347" s="456">
        <v>0.58199999999999996</v>
      </c>
      <c r="F347" s="456">
        <v>0.58199999999999996</v>
      </c>
      <c r="G347" s="427" t="s">
        <v>3328</v>
      </c>
      <c r="H347" s="427" t="s">
        <v>3480</v>
      </c>
      <c r="I347" s="456"/>
      <c r="J347" s="458"/>
      <c r="K347" s="473"/>
      <c r="L347" s="456">
        <v>0</v>
      </c>
      <c r="M347" s="458">
        <f t="shared" si="26"/>
        <v>0</v>
      </c>
      <c r="N347" s="456">
        <v>0</v>
      </c>
      <c r="O347" s="467">
        <f t="shared" si="27"/>
        <v>0</v>
      </c>
      <c r="P347" s="456">
        <v>0.58199999999999996</v>
      </c>
      <c r="Q347" s="458">
        <f t="shared" si="28"/>
        <v>1</v>
      </c>
      <c r="R347" s="432" t="s">
        <v>1488</v>
      </c>
      <c r="S347" s="436">
        <v>2019</v>
      </c>
    </row>
    <row r="348" spans="1:19" ht="56.25">
      <c r="A348" s="457" t="s">
        <v>2527</v>
      </c>
      <c r="B348" s="471">
        <v>739971</v>
      </c>
      <c r="C348" s="472" t="s">
        <v>431</v>
      </c>
      <c r="D348" s="428" t="s">
        <v>3276</v>
      </c>
      <c r="E348" s="456">
        <v>0.6</v>
      </c>
      <c r="F348" s="456">
        <v>0.6</v>
      </c>
      <c r="G348" s="427" t="s">
        <v>2627</v>
      </c>
      <c r="H348" s="427" t="s">
        <v>3463</v>
      </c>
      <c r="I348" s="456"/>
      <c r="J348" s="458"/>
      <c r="K348" s="473"/>
      <c r="L348" s="456">
        <v>0</v>
      </c>
      <c r="M348" s="458">
        <f t="shared" si="26"/>
        <v>0</v>
      </c>
      <c r="N348" s="456">
        <v>0</v>
      </c>
      <c r="O348" s="467">
        <f t="shared" si="27"/>
        <v>0</v>
      </c>
      <c r="P348" s="456">
        <v>0.6</v>
      </c>
      <c r="Q348" s="458">
        <f t="shared" si="28"/>
        <v>1</v>
      </c>
      <c r="R348" s="432" t="s">
        <v>1488</v>
      </c>
      <c r="S348" s="436">
        <v>2019</v>
      </c>
    </row>
    <row r="349" spans="1:19" ht="56.25">
      <c r="A349" s="457" t="s">
        <v>2528</v>
      </c>
      <c r="B349" s="471">
        <v>743084</v>
      </c>
      <c r="C349" s="472" t="s">
        <v>432</v>
      </c>
      <c r="D349" s="428" t="s">
        <v>3276</v>
      </c>
      <c r="E349" s="456">
        <v>0.2</v>
      </c>
      <c r="F349" s="456">
        <v>0.2</v>
      </c>
      <c r="G349" s="427" t="s">
        <v>3491</v>
      </c>
      <c r="H349" s="427" t="s">
        <v>3477</v>
      </c>
      <c r="I349" s="456"/>
      <c r="J349" s="458"/>
      <c r="K349" s="473"/>
      <c r="L349" s="456">
        <v>0</v>
      </c>
      <c r="M349" s="458">
        <f t="shared" si="26"/>
        <v>0</v>
      </c>
      <c r="N349" s="456">
        <v>0</v>
      </c>
      <c r="O349" s="467">
        <f t="shared" si="27"/>
        <v>0</v>
      </c>
      <c r="P349" s="456">
        <v>0.2</v>
      </c>
      <c r="Q349" s="458">
        <f t="shared" si="28"/>
        <v>1</v>
      </c>
      <c r="R349" s="432" t="s">
        <v>1488</v>
      </c>
      <c r="S349" s="436">
        <v>2019</v>
      </c>
    </row>
    <row r="350" spans="1:19" ht="56.25">
      <c r="A350" s="457" t="s">
        <v>2529</v>
      </c>
      <c r="B350" s="471">
        <v>738922</v>
      </c>
      <c r="C350" s="472" t="s">
        <v>433</v>
      </c>
      <c r="D350" s="428" t="s">
        <v>3276</v>
      </c>
      <c r="E350" s="456">
        <v>0.6</v>
      </c>
      <c r="F350" s="456">
        <v>0.6</v>
      </c>
      <c r="G350" s="427" t="s">
        <v>2643</v>
      </c>
      <c r="H350" s="427" t="s">
        <v>3489</v>
      </c>
      <c r="I350" s="456"/>
      <c r="J350" s="458"/>
      <c r="K350" s="473"/>
      <c r="L350" s="456">
        <v>0</v>
      </c>
      <c r="M350" s="458">
        <f t="shared" si="26"/>
        <v>0</v>
      </c>
      <c r="N350" s="456">
        <v>0</v>
      </c>
      <c r="O350" s="467">
        <f t="shared" si="27"/>
        <v>0</v>
      </c>
      <c r="P350" s="456">
        <v>0.6</v>
      </c>
      <c r="Q350" s="458">
        <f t="shared" si="28"/>
        <v>1</v>
      </c>
      <c r="R350" s="432" t="s">
        <v>1488</v>
      </c>
      <c r="S350" s="436">
        <v>2019</v>
      </c>
    </row>
    <row r="351" spans="1:19" ht="56.25">
      <c r="A351" s="457" t="s">
        <v>2530</v>
      </c>
      <c r="B351" s="471">
        <v>736888</v>
      </c>
      <c r="C351" s="472" t="s">
        <v>434</v>
      </c>
      <c r="D351" s="428" t="s">
        <v>3276</v>
      </c>
      <c r="E351" s="456">
        <v>0.63100000000000001</v>
      </c>
      <c r="F351" s="456">
        <v>0.63100000000000001</v>
      </c>
      <c r="G351" s="427" t="s">
        <v>3492</v>
      </c>
      <c r="H351" s="427" t="s">
        <v>2636</v>
      </c>
      <c r="I351" s="456"/>
      <c r="J351" s="458"/>
      <c r="K351" s="473"/>
      <c r="L351" s="456">
        <v>0</v>
      </c>
      <c r="M351" s="458">
        <f t="shared" si="26"/>
        <v>0</v>
      </c>
      <c r="N351" s="456">
        <v>0</v>
      </c>
      <c r="O351" s="467">
        <f t="shared" si="27"/>
        <v>0</v>
      </c>
      <c r="P351" s="456">
        <v>0.63100000000000001</v>
      </c>
      <c r="Q351" s="458">
        <f t="shared" si="28"/>
        <v>1</v>
      </c>
      <c r="R351" s="432" t="s">
        <v>1488</v>
      </c>
      <c r="S351" s="436">
        <v>2019</v>
      </c>
    </row>
    <row r="352" spans="1:19" ht="56.25">
      <c r="A352" s="457" t="s">
        <v>2531</v>
      </c>
      <c r="B352" s="471">
        <v>745291</v>
      </c>
      <c r="C352" s="472" t="s">
        <v>435</v>
      </c>
      <c r="D352" s="428" t="s">
        <v>3276</v>
      </c>
      <c r="E352" s="456">
        <v>1.7649999999999999</v>
      </c>
      <c r="F352" s="456">
        <v>1.7649999999999999</v>
      </c>
      <c r="G352" s="427" t="s">
        <v>3470</v>
      </c>
      <c r="H352" s="427" t="s">
        <v>3493</v>
      </c>
      <c r="I352" s="456"/>
      <c r="J352" s="458"/>
      <c r="K352" s="473"/>
      <c r="L352" s="456">
        <v>0</v>
      </c>
      <c r="M352" s="458">
        <f t="shared" si="26"/>
        <v>0</v>
      </c>
      <c r="N352" s="456">
        <v>0</v>
      </c>
      <c r="O352" s="467">
        <f t="shared" si="27"/>
        <v>0</v>
      </c>
      <c r="P352" s="456">
        <v>1.7649999999999999</v>
      </c>
      <c r="Q352" s="458">
        <f t="shared" si="28"/>
        <v>1</v>
      </c>
      <c r="R352" s="432" t="s">
        <v>1488</v>
      </c>
      <c r="S352" s="436">
        <v>2019</v>
      </c>
    </row>
    <row r="353" spans="1:19" ht="56.25">
      <c r="A353" s="457" t="s">
        <v>2532</v>
      </c>
      <c r="B353" s="471">
        <v>737871</v>
      </c>
      <c r="C353" s="472" t="s">
        <v>436</v>
      </c>
      <c r="D353" s="428" t="s">
        <v>3276</v>
      </c>
      <c r="E353" s="456">
        <v>1.2310000000000001</v>
      </c>
      <c r="F353" s="456">
        <v>1.2310000000000001</v>
      </c>
      <c r="G353" s="427" t="s">
        <v>2627</v>
      </c>
      <c r="H353" s="427" t="s">
        <v>3480</v>
      </c>
      <c r="I353" s="456"/>
      <c r="J353" s="458"/>
      <c r="K353" s="473"/>
      <c r="L353" s="456">
        <v>0</v>
      </c>
      <c r="M353" s="458">
        <f t="shared" si="26"/>
        <v>0</v>
      </c>
      <c r="N353" s="456">
        <v>0</v>
      </c>
      <c r="O353" s="467">
        <f t="shared" si="27"/>
        <v>0</v>
      </c>
      <c r="P353" s="456">
        <v>1.2310000000000001</v>
      </c>
      <c r="Q353" s="458">
        <f t="shared" si="28"/>
        <v>1</v>
      </c>
      <c r="R353" s="432" t="s">
        <v>1488</v>
      </c>
      <c r="S353" s="436">
        <v>2019</v>
      </c>
    </row>
    <row r="354" spans="1:19" ht="56.25">
      <c r="A354" s="457" t="s">
        <v>2533</v>
      </c>
      <c r="B354" s="471">
        <v>740133</v>
      </c>
      <c r="C354" s="472" t="s">
        <v>437</v>
      </c>
      <c r="D354" s="428" t="s">
        <v>3276</v>
      </c>
      <c r="E354" s="456">
        <v>1.242</v>
      </c>
      <c r="F354" s="456">
        <v>1.242</v>
      </c>
      <c r="G354" s="427" t="s">
        <v>2645</v>
      </c>
      <c r="H354" s="427" t="s">
        <v>2646</v>
      </c>
      <c r="I354" s="456"/>
      <c r="J354" s="458"/>
      <c r="K354" s="473"/>
      <c r="L354" s="456">
        <v>0</v>
      </c>
      <c r="M354" s="458">
        <f t="shared" si="26"/>
        <v>0</v>
      </c>
      <c r="N354" s="456">
        <v>0</v>
      </c>
      <c r="O354" s="467">
        <f t="shared" si="27"/>
        <v>0</v>
      </c>
      <c r="P354" s="456">
        <v>1.242</v>
      </c>
      <c r="Q354" s="458">
        <f t="shared" si="28"/>
        <v>1</v>
      </c>
      <c r="R354" s="432" t="s">
        <v>1488</v>
      </c>
      <c r="S354" s="436">
        <v>2019</v>
      </c>
    </row>
    <row r="355" spans="1:19" ht="75">
      <c r="A355" s="457" t="s">
        <v>2534</v>
      </c>
      <c r="B355" s="471">
        <v>745038</v>
      </c>
      <c r="C355" s="472" t="s">
        <v>438</v>
      </c>
      <c r="D355" s="428" t="s">
        <v>3276</v>
      </c>
      <c r="E355" s="456">
        <v>0.25</v>
      </c>
      <c r="F355" s="456">
        <v>0.25</v>
      </c>
      <c r="G355" s="427" t="s">
        <v>2627</v>
      </c>
      <c r="H355" s="427" t="s">
        <v>3490</v>
      </c>
      <c r="I355" s="456"/>
      <c r="J355" s="458"/>
      <c r="K355" s="473"/>
      <c r="L355" s="456">
        <v>0</v>
      </c>
      <c r="M355" s="458">
        <f t="shared" si="26"/>
        <v>0</v>
      </c>
      <c r="N355" s="456">
        <v>0</v>
      </c>
      <c r="O355" s="467">
        <f t="shared" si="27"/>
        <v>0</v>
      </c>
      <c r="P355" s="456">
        <v>0.25</v>
      </c>
      <c r="Q355" s="458">
        <f t="shared" si="28"/>
        <v>1</v>
      </c>
      <c r="R355" s="432" t="s">
        <v>1488</v>
      </c>
      <c r="S355" s="436">
        <v>2019</v>
      </c>
    </row>
    <row r="356" spans="1:19" ht="56.25">
      <c r="A356" s="457" t="s">
        <v>2535</v>
      </c>
      <c r="B356" s="471">
        <v>745038</v>
      </c>
      <c r="C356" s="472" t="s">
        <v>439</v>
      </c>
      <c r="D356" s="428" t="s">
        <v>3276</v>
      </c>
      <c r="E356" s="456">
        <v>0.14299999999999999</v>
      </c>
      <c r="F356" s="456">
        <v>0.14299999999999999</v>
      </c>
      <c r="G356" s="427" t="s">
        <v>3328</v>
      </c>
      <c r="H356" s="427" t="s">
        <v>3480</v>
      </c>
      <c r="I356" s="456"/>
      <c r="J356" s="458"/>
      <c r="K356" s="473"/>
      <c r="L356" s="456">
        <v>0</v>
      </c>
      <c r="M356" s="458">
        <f t="shared" si="26"/>
        <v>0</v>
      </c>
      <c r="N356" s="456">
        <v>0</v>
      </c>
      <c r="O356" s="467">
        <f t="shared" si="27"/>
        <v>0</v>
      </c>
      <c r="P356" s="456">
        <v>0.14299999999999999</v>
      </c>
      <c r="Q356" s="458">
        <f t="shared" si="28"/>
        <v>1</v>
      </c>
      <c r="R356" s="432" t="s">
        <v>1488</v>
      </c>
      <c r="S356" s="436">
        <v>2019</v>
      </c>
    </row>
    <row r="357" spans="1:19" ht="56.25">
      <c r="A357" s="457" t="s">
        <v>2536</v>
      </c>
      <c r="B357" s="471">
        <v>742340</v>
      </c>
      <c r="C357" s="472" t="s">
        <v>440</v>
      </c>
      <c r="D357" s="428" t="s">
        <v>3276</v>
      </c>
      <c r="E357" s="456">
        <v>0.65700000000000003</v>
      </c>
      <c r="F357" s="456">
        <v>0.65700000000000003</v>
      </c>
      <c r="G357" s="427" t="s">
        <v>2627</v>
      </c>
      <c r="H357" s="427" t="s">
        <v>3463</v>
      </c>
      <c r="I357" s="456"/>
      <c r="J357" s="458"/>
      <c r="K357" s="473"/>
      <c r="L357" s="456">
        <v>0</v>
      </c>
      <c r="M357" s="458">
        <f t="shared" si="26"/>
        <v>0</v>
      </c>
      <c r="N357" s="456">
        <v>0</v>
      </c>
      <c r="O357" s="467">
        <f t="shared" si="27"/>
        <v>0</v>
      </c>
      <c r="P357" s="456">
        <v>0.65700000000000003</v>
      </c>
      <c r="Q357" s="458">
        <f t="shared" si="28"/>
        <v>1</v>
      </c>
      <c r="R357" s="432" t="s">
        <v>1488</v>
      </c>
      <c r="S357" s="436">
        <v>2019</v>
      </c>
    </row>
    <row r="358" spans="1:19" ht="56.25">
      <c r="A358" s="457" t="s">
        <v>2537</v>
      </c>
      <c r="B358" s="471">
        <v>749939</v>
      </c>
      <c r="C358" s="472" t="s">
        <v>441</v>
      </c>
      <c r="D358" s="428" t="s">
        <v>3276</v>
      </c>
      <c r="E358" s="456">
        <v>2.71</v>
      </c>
      <c r="F358" s="456">
        <v>2.71</v>
      </c>
      <c r="G358" s="427" t="s">
        <v>3491</v>
      </c>
      <c r="H358" s="427" t="s">
        <v>3477</v>
      </c>
      <c r="I358" s="456"/>
      <c r="J358" s="458"/>
      <c r="K358" s="473"/>
      <c r="L358" s="456">
        <v>0</v>
      </c>
      <c r="M358" s="458">
        <f t="shared" si="26"/>
        <v>0</v>
      </c>
      <c r="N358" s="456">
        <v>0</v>
      </c>
      <c r="O358" s="467">
        <f t="shared" si="27"/>
        <v>0</v>
      </c>
      <c r="P358" s="456">
        <v>2.71</v>
      </c>
      <c r="Q358" s="458">
        <f t="shared" si="28"/>
        <v>1</v>
      </c>
      <c r="R358" s="432" t="s">
        <v>1488</v>
      </c>
      <c r="S358" s="436">
        <v>2019</v>
      </c>
    </row>
    <row r="359" spans="1:19" ht="56.25">
      <c r="A359" s="457" t="s">
        <v>2538</v>
      </c>
      <c r="B359" s="471">
        <v>741157</v>
      </c>
      <c r="C359" s="472" t="s">
        <v>442</v>
      </c>
      <c r="D359" s="428" t="s">
        <v>3276</v>
      </c>
      <c r="E359" s="456">
        <v>0.48</v>
      </c>
      <c r="F359" s="456">
        <v>0.48</v>
      </c>
      <c r="G359" s="427" t="s">
        <v>2643</v>
      </c>
      <c r="H359" s="427" t="s">
        <v>3489</v>
      </c>
      <c r="I359" s="456"/>
      <c r="J359" s="458"/>
      <c r="K359" s="473"/>
      <c r="L359" s="456">
        <v>0</v>
      </c>
      <c r="M359" s="458">
        <f t="shared" si="26"/>
        <v>0</v>
      </c>
      <c r="N359" s="456">
        <v>0</v>
      </c>
      <c r="O359" s="467">
        <f t="shared" si="27"/>
        <v>0</v>
      </c>
      <c r="P359" s="456">
        <v>0.48</v>
      </c>
      <c r="Q359" s="458">
        <f t="shared" si="28"/>
        <v>1</v>
      </c>
      <c r="R359" s="432" t="s">
        <v>1488</v>
      </c>
      <c r="S359" s="436">
        <v>2019</v>
      </c>
    </row>
    <row r="360" spans="1:19" ht="56.25">
      <c r="A360" s="457" t="s">
        <v>2539</v>
      </c>
      <c r="B360" s="471">
        <v>739311</v>
      </c>
      <c r="C360" s="472" t="s">
        <v>443</v>
      </c>
      <c r="D360" s="428" t="s">
        <v>3276</v>
      </c>
      <c r="E360" s="456">
        <v>0.84</v>
      </c>
      <c r="F360" s="456">
        <v>0.84</v>
      </c>
      <c r="G360" s="427" t="s">
        <v>3492</v>
      </c>
      <c r="H360" s="427" t="s">
        <v>2636</v>
      </c>
      <c r="I360" s="456"/>
      <c r="J360" s="458"/>
      <c r="K360" s="473"/>
      <c r="L360" s="456">
        <v>0</v>
      </c>
      <c r="M360" s="458">
        <f t="shared" si="26"/>
        <v>0</v>
      </c>
      <c r="N360" s="456">
        <v>0</v>
      </c>
      <c r="O360" s="467">
        <f t="shared" si="27"/>
        <v>0</v>
      </c>
      <c r="P360" s="456">
        <v>0.84</v>
      </c>
      <c r="Q360" s="458">
        <f t="shared" si="28"/>
        <v>1</v>
      </c>
      <c r="R360" s="432" t="s">
        <v>1488</v>
      </c>
      <c r="S360" s="436">
        <v>2019</v>
      </c>
    </row>
    <row r="361" spans="1:19" ht="56.25">
      <c r="A361" s="457" t="s">
        <v>2540</v>
      </c>
      <c r="B361" s="471">
        <v>739368</v>
      </c>
      <c r="C361" s="472" t="s">
        <v>444</v>
      </c>
      <c r="D361" s="428" t="s">
        <v>3276</v>
      </c>
      <c r="E361" s="456">
        <v>0.54</v>
      </c>
      <c r="F361" s="456">
        <v>0.54</v>
      </c>
      <c r="G361" s="427" t="s">
        <v>3470</v>
      </c>
      <c r="H361" s="427" t="s">
        <v>3493</v>
      </c>
      <c r="I361" s="456"/>
      <c r="J361" s="458"/>
      <c r="K361" s="473"/>
      <c r="L361" s="456">
        <v>0</v>
      </c>
      <c r="M361" s="458">
        <f t="shared" si="26"/>
        <v>0</v>
      </c>
      <c r="N361" s="456">
        <v>0</v>
      </c>
      <c r="O361" s="467">
        <f t="shared" si="27"/>
        <v>0</v>
      </c>
      <c r="P361" s="456">
        <v>0.54</v>
      </c>
      <c r="Q361" s="458">
        <f t="shared" si="28"/>
        <v>1</v>
      </c>
      <c r="R361" s="432" t="s">
        <v>1488</v>
      </c>
      <c r="S361" s="436">
        <v>2019</v>
      </c>
    </row>
    <row r="362" spans="1:19" ht="56.25">
      <c r="A362" s="457" t="s">
        <v>2541</v>
      </c>
      <c r="B362" s="471">
        <v>734755</v>
      </c>
      <c r="C362" s="472" t="s">
        <v>445</v>
      </c>
      <c r="D362" s="428" t="s">
        <v>3276</v>
      </c>
      <c r="E362" s="456">
        <v>0.19</v>
      </c>
      <c r="F362" s="456">
        <v>0.19</v>
      </c>
      <c r="G362" s="427" t="s">
        <v>2627</v>
      </c>
      <c r="H362" s="427" t="s">
        <v>3480</v>
      </c>
      <c r="I362" s="456"/>
      <c r="J362" s="458"/>
      <c r="K362" s="473"/>
      <c r="L362" s="456">
        <v>0</v>
      </c>
      <c r="M362" s="458">
        <f t="shared" si="26"/>
        <v>0</v>
      </c>
      <c r="N362" s="456">
        <v>0</v>
      </c>
      <c r="O362" s="467">
        <f t="shared" si="27"/>
        <v>0</v>
      </c>
      <c r="P362" s="456">
        <v>0.19</v>
      </c>
      <c r="Q362" s="458">
        <f t="shared" si="28"/>
        <v>1</v>
      </c>
      <c r="R362" s="432" t="s">
        <v>1488</v>
      </c>
      <c r="S362" s="436">
        <v>2019</v>
      </c>
    </row>
    <row r="363" spans="1:19" ht="56.25">
      <c r="A363" s="457" t="s">
        <v>2542</v>
      </c>
      <c r="B363" s="471">
        <v>742666</v>
      </c>
      <c r="C363" s="472" t="s">
        <v>446</v>
      </c>
      <c r="D363" s="428" t="s">
        <v>3276</v>
      </c>
      <c r="E363" s="456">
        <v>0.29499999999999998</v>
      </c>
      <c r="F363" s="456">
        <v>0.29499999999999998</v>
      </c>
      <c r="G363" s="427" t="s">
        <v>3313</v>
      </c>
      <c r="H363" s="427" t="s">
        <v>3337</v>
      </c>
      <c r="I363" s="456"/>
      <c r="J363" s="458"/>
      <c r="K363" s="473"/>
      <c r="L363" s="456">
        <v>0</v>
      </c>
      <c r="M363" s="458">
        <f t="shared" si="26"/>
        <v>0</v>
      </c>
      <c r="N363" s="456">
        <v>0</v>
      </c>
      <c r="O363" s="467">
        <f t="shared" si="27"/>
        <v>0</v>
      </c>
      <c r="P363" s="456">
        <v>0.29499999999999998</v>
      </c>
      <c r="Q363" s="458">
        <f t="shared" si="28"/>
        <v>1</v>
      </c>
      <c r="R363" s="432" t="s">
        <v>1488</v>
      </c>
      <c r="S363" s="436">
        <v>2019</v>
      </c>
    </row>
    <row r="364" spans="1:19" ht="56.25">
      <c r="A364" s="457" t="s">
        <v>2543</v>
      </c>
      <c r="B364" s="471">
        <v>734755</v>
      </c>
      <c r="C364" s="472" t="s">
        <v>447</v>
      </c>
      <c r="D364" s="428" t="s">
        <v>3276</v>
      </c>
      <c r="E364" s="456">
        <v>0.16</v>
      </c>
      <c r="F364" s="456">
        <v>0.16</v>
      </c>
      <c r="G364" s="427" t="s">
        <v>3313</v>
      </c>
      <c r="H364" s="427" t="s">
        <v>3338</v>
      </c>
      <c r="I364" s="456"/>
      <c r="J364" s="458"/>
      <c r="K364" s="473"/>
      <c r="L364" s="456">
        <v>0</v>
      </c>
      <c r="M364" s="458">
        <f t="shared" si="26"/>
        <v>0</v>
      </c>
      <c r="N364" s="456">
        <v>0</v>
      </c>
      <c r="O364" s="467">
        <f t="shared" si="27"/>
        <v>0</v>
      </c>
      <c r="P364" s="456">
        <v>0.16</v>
      </c>
      <c r="Q364" s="458">
        <f t="shared" si="28"/>
        <v>1</v>
      </c>
      <c r="R364" s="432" t="s">
        <v>1488</v>
      </c>
      <c r="S364" s="436">
        <v>2019</v>
      </c>
    </row>
    <row r="365" spans="1:19" ht="56.25">
      <c r="A365" s="457" t="s">
        <v>2544</v>
      </c>
      <c r="B365" s="471" t="s">
        <v>2545</v>
      </c>
      <c r="C365" s="472" t="s">
        <v>448</v>
      </c>
      <c r="D365" s="428" t="s">
        <v>3276</v>
      </c>
      <c r="E365" s="456">
        <v>0.46</v>
      </c>
      <c r="F365" s="456">
        <v>0.46</v>
      </c>
      <c r="G365" s="427" t="s">
        <v>3313</v>
      </c>
      <c r="H365" s="427" t="s">
        <v>3339</v>
      </c>
      <c r="I365" s="456"/>
      <c r="J365" s="458"/>
      <c r="K365" s="473"/>
      <c r="L365" s="456">
        <v>0</v>
      </c>
      <c r="M365" s="458">
        <f>IF(L365="","",L365/F365)</f>
        <v>0</v>
      </c>
      <c r="N365" s="456">
        <v>0</v>
      </c>
      <c r="O365" s="467">
        <f t="shared" si="27"/>
        <v>0</v>
      </c>
      <c r="P365" s="456">
        <v>0.46</v>
      </c>
      <c r="Q365" s="458">
        <f t="shared" si="28"/>
        <v>1</v>
      </c>
      <c r="R365" s="432" t="s">
        <v>1488</v>
      </c>
      <c r="S365" s="436">
        <v>2019</v>
      </c>
    </row>
    <row r="366" spans="1:19" ht="18.75">
      <c r="A366" s="457"/>
      <c r="B366" s="471"/>
      <c r="C366" s="472"/>
      <c r="D366" s="472"/>
      <c r="E366" s="456"/>
      <c r="F366" s="456"/>
      <c r="G366" s="456"/>
      <c r="H366" s="456"/>
      <c r="I366" s="456"/>
      <c r="J366" s="458"/>
      <c r="K366" s="473"/>
      <c r="L366" s="456"/>
      <c r="M366" s="476"/>
      <c r="N366" s="456"/>
      <c r="O366" s="467"/>
      <c r="P366" s="456"/>
      <c r="Q366" s="477"/>
      <c r="R366" s="464"/>
      <c r="S366" s="464"/>
    </row>
    <row r="367" spans="1:19" ht="18.75">
      <c r="A367" s="1493" t="s">
        <v>1312</v>
      </c>
      <c r="B367" s="1493"/>
      <c r="C367" s="1493"/>
      <c r="D367" s="481"/>
      <c r="E367" s="478">
        <f>SUM(E46:E366)</f>
        <v>388.05799999999999</v>
      </c>
      <c r="F367" s="478">
        <f>SUM(F46:F366)</f>
        <v>388.69200000000006</v>
      </c>
      <c r="G367" s="478"/>
      <c r="H367" s="478"/>
      <c r="I367" s="478">
        <f>SUM(I46:I366)</f>
        <v>157.38669999999991</v>
      </c>
      <c r="J367" s="479">
        <f>I367/E367</f>
        <v>0.40557519752201965</v>
      </c>
      <c r="K367" s="480"/>
      <c r="L367" s="478">
        <f>SUM(L46:L366)</f>
        <v>0</v>
      </c>
      <c r="M367" s="480"/>
      <c r="N367" s="478">
        <f>SUM(N46:N366)</f>
        <v>237.08999999999992</v>
      </c>
      <c r="O367" s="479">
        <f>N367/F367</f>
        <v>0.60996881849896545</v>
      </c>
      <c r="P367" s="478">
        <f>SUM(P46:P366)</f>
        <v>378.99900000000008</v>
      </c>
      <c r="Q367" s="479">
        <f>P367/F367</f>
        <v>0.97506251736593508</v>
      </c>
      <c r="R367" s="481"/>
      <c r="S367" s="482"/>
    </row>
    <row r="368" spans="1:19" ht="18.75">
      <c r="A368" s="1494" t="s">
        <v>1467</v>
      </c>
      <c r="B368" s="1494"/>
      <c r="C368" s="1494"/>
      <c r="D368" s="486"/>
      <c r="E368" s="483">
        <f>E12+E44+E367</f>
        <v>1611.029</v>
      </c>
      <c r="F368" s="483">
        <f>F12+F44+F367</f>
        <v>1069.492</v>
      </c>
      <c r="G368" s="483"/>
      <c r="H368" s="483"/>
      <c r="I368" s="483">
        <f>I12+I44+I367</f>
        <v>358.30669999999992</v>
      </c>
      <c r="J368" s="484">
        <f>I368/F368</f>
        <v>0.33502513342783297</v>
      </c>
      <c r="K368" s="485"/>
      <c r="L368" s="483">
        <f>L12+L44+L367</f>
        <v>236.00199999999998</v>
      </c>
      <c r="M368" s="484">
        <f>L368/F368</f>
        <v>0.22066738227120913</v>
      </c>
      <c r="N368" s="483">
        <f>N12+N44+N367</f>
        <v>774.37299999999982</v>
      </c>
      <c r="O368" s="484">
        <f>N368/F368</f>
        <v>0.72405684193991149</v>
      </c>
      <c r="P368" s="483">
        <f>P12+P44+P367</f>
        <v>1016.0140000000001</v>
      </c>
      <c r="Q368" s="484">
        <f>P368/F368</f>
        <v>0.94999682092058679</v>
      </c>
      <c r="R368" s="486"/>
      <c r="S368" s="486"/>
    </row>
  </sheetData>
  <mergeCells count="21">
    <mergeCell ref="A45:S45"/>
    <mergeCell ref="A367:C367"/>
    <mergeCell ref="A368:C368"/>
    <mergeCell ref="I4:K5"/>
    <mergeCell ref="L4:M5"/>
    <mergeCell ref="A8:S8"/>
    <mergeCell ref="A12:C12"/>
    <mergeCell ref="A13:S13"/>
    <mergeCell ref="A44:C44"/>
    <mergeCell ref="D2:D6"/>
    <mergeCell ref="G2:H5"/>
    <mergeCell ref="A1:S1"/>
    <mergeCell ref="A2:A6"/>
    <mergeCell ref="B2:B6"/>
    <mergeCell ref="C2:C6"/>
    <mergeCell ref="E2:F5"/>
    <mergeCell ref="I2:Q2"/>
    <mergeCell ref="R2:S5"/>
    <mergeCell ref="I3:M3"/>
    <mergeCell ref="N3:O5"/>
    <mergeCell ref="P3:Q5"/>
  </mergeCells>
  <pageMargins left="0.70866141732283472" right="0.70866141732283472" top="0.74803149606299213" bottom="0.74803149606299213" header="0.31496062992125984" footer="0.31496062992125984"/>
  <pageSetup paperSize="9" scale="52" orientation="landscape" r:id="rId1"/>
  <headerFooter>
    <oddHeader>&amp;C&amp;P</oddHeader>
  </headerFooter>
  <rowBreaks count="1" manualBreakCount="1">
    <brk id="44" max="16383" man="1"/>
  </rowBreaks>
</worksheet>
</file>

<file path=xl/worksheets/sheet8.xml><?xml version="1.0" encoding="utf-8"?>
<worksheet xmlns="http://schemas.openxmlformats.org/spreadsheetml/2006/main" xmlns:r="http://schemas.openxmlformats.org/officeDocument/2006/relationships">
  <dimension ref="A1:S70"/>
  <sheetViews>
    <sheetView view="pageBreakPreview" topLeftCell="A61" zoomScale="85" zoomScaleNormal="100" zoomScaleSheetLayoutView="85" zoomScalePageLayoutView="40" workbookViewId="0">
      <selection activeCell="R74" sqref="R74"/>
    </sheetView>
  </sheetViews>
  <sheetFormatPr defaultRowHeight="15"/>
  <cols>
    <col min="1" max="1" width="6.5703125" customWidth="1"/>
    <col min="2" max="2" width="13.85546875" customWidth="1"/>
    <col min="3" max="3" width="53.42578125" customWidth="1"/>
    <col min="4" max="4" width="21" customWidth="1"/>
    <col min="5" max="5" width="13" style="296" customWidth="1"/>
    <col min="6" max="6" width="12.5703125" style="296" customWidth="1"/>
    <col min="7" max="8" width="13.7109375" customWidth="1"/>
    <col min="9" max="9" width="9.28515625" style="296" customWidth="1"/>
    <col min="10" max="10" width="13.140625" customWidth="1"/>
    <col min="11" max="11" width="14.7109375" customWidth="1"/>
    <col min="12" max="12" width="7.140625" customWidth="1"/>
    <col min="13" max="13" width="7.7109375" customWidth="1"/>
    <col min="14" max="14" width="11.85546875" style="296" customWidth="1"/>
    <col min="15" max="15" width="11.85546875" customWidth="1"/>
    <col min="16" max="16" width="9.5703125" style="296" customWidth="1"/>
    <col min="17" max="17" width="11.85546875" customWidth="1"/>
    <col min="18" max="18" width="10.7109375" customWidth="1"/>
    <col min="19" max="19" width="7.85546875" customWidth="1"/>
    <col min="20" max="24" width="16.7109375" customWidth="1"/>
  </cols>
  <sheetData>
    <row r="1" spans="1:19" ht="66" customHeight="1">
      <c r="A1" s="1487" t="s">
        <v>3495</v>
      </c>
      <c r="B1" s="1487"/>
      <c r="C1" s="1487"/>
      <c r="D1" s="1487"/>
      <c r="E1" s="1487"/>
      <c r="F1" s="1487"/>
      <c r="G1" s="1487"/>
      <c r="H1" s="1487"/>
      <c r="I1" s="1487"/>
      <c r="J1" s="1487"/>
      <c r="K1" s="1487"/>
      <c r="L1" s="1487"/>
      <c r="M1" s="1487"/>
      <c r="N1" s="1487"/>
      <c r="O1" s="1487"/>
      <c r="P1" s="1487"/>
      <c r="Q1" s="1487"/>
      <c r="R1" s="1487"/>
      <c r="S1" s="1487"/>
    </row>
    <row r="2" spans="1:19" ht="18.75" customHeight="1">
      <c r="A2" s="1488" t="s">
        <v>1</v>
      </c>
      <c r="B2" s="1489" t="s">
        <v>2</v>
      </c>
      <c r="C2" s="1489" t="s">
        <v>3</v>
      </c>
      <c r="D2" s="1489" t="s">
        <v>2621</v>
      </c>
      <c r="E2" s="1490" t="s">
        <v>1468</v>
      </c>
      <c r="F2" s="1490"/>
      <c r="G2" s="1490" t="s">
        <v>2679</v>
      </c>
      <c r="H2" s="1490"/>
      <c r="I2" s="1491" t="s">
        <v>1469</v>
      </c>
      <c r="J2" s="1491"/>
      <c r="K2" s="1491"/>
      <c r="L2" s="1491"/>
      <c r="M2" s="1491"/>
      <c r="N2" s="1491"/>
      <c r="O2" s="1491"/>
      <c r="P2" s="1491"/>
      <c r="Q2" s="1491"/>
      <c r="R2" s="1489" t="s">
        <v>1470</v>
      </c>
      <c r="S2" s="1489"/>
    </row>
    <row r="3" spans="1:19" ht="18.75" customHeight="1">
      <c r="A3" s="1488"/>
      <c r="B3" s="1489"/>
      <c r="C3" s="1489"/>
      <c r="D3" s="1489"/>
      <c r="E3" s="1490"/>
      <c r="F3" s="1490"/>
      <c r="G3" s="1490"/>
      <c r="H3" s="1490"/>
      <c r="I3" s="1491" t="s">
        <v>1471</v>
      </c>
      <c r="J3" s="1491"/>
      <c r="K3" s="1491"/>
      <c r="L3" s="1491"/>
      <c r="M3" s="1491"/>
      <c r="N3" s="1491" t="s">
        <v>1472</v>
      </c>
      <c r="O3" s="1491"/>
      <c r="P3" s="1491" t="s">
        <v>1474</v>
      </c>
      <c r="Q3" s="1491"/>
      <c r="R3" s="1489"/>
      <c r="S3" s="1489"/>
    </row>
    <row r="4" spans="1:19" ht="15" customHeight="1">
      <c r="A4" s="1488"/>
      <c r="B4" s="1489"/>
      <c r="C4" s="1489"/>
      <c r="D4" s="1489"/>
      <c r="E4" s="1490"/>
      <c r="F4" s="1490"/>
      <c r="G4" s="1490"/>
      <c r="H4" s="1490"/>
      <c r="I4" s="1491" t="s">
        <v>1475</v>
      </c>
      <c r="J4" s="1491"/>
      <c r="K4" s="1491"/>
      <c r="L4" s="1498" t="s">
        <v>1476</v>
      </c>
      <c r="M4" s="1498"/>
      <c r="N4" s="1491"/>
      <c r="O4" s="1491"/>
      <c r="P4" s="1491"/>
      <c r="Q4" s="1491"/>
      <c r="R4" s="1489"/>
      <c r="S4" s="1489"/>
    </row>
    <row r="5" spans="1:19" ht="26.25" customHeight="1">
      <c r="A5" s="1488"/>
      <c r="B5" s="1489"/>
      <c r="C5" s="1489"/>
      <c r="D5" s="1489"/>
      <c r="E5" s="1490"/>
      <c r="F5" s="1490"/>
      <c r="G5" s="1490"/>
      <c r="H5" s="1490"/>
      <c r="I5" s="1491"/>
      <c r="J5" s="1491"/>
      <c r="K5" s="1491"/>
      <c r="L5" s="1498"/>
      <c r="M5" s="1498"/>
      <c r="N5" s="1491"/>
      <c r="O5" s="1491"/>
      <c r="P5" s="1491"/>
      <c r="Q5" s="1491"/>
      <c r="R5" s="1489"/>
      <c r="S5" s="1489"/>
    </row>
    <row r="6" spans="1:19" ht="45" customHeight="1">
      <c r="A6" s="1488"/>
      <c r="B6" s="1489"/>
      <c r="C6" s="1489"/>
      <c r="D6" s="1489"/>
      <c r="E6" s="494" t="s">
        <v>3494</v>
      </c>
      <c r="F6" s="494" t="s">
        <v>3269</v>
      </c>
      <c r="G6" s="490" t="s">
        <v>19</v>
      </c>
      <c r="H6" s="490" t="s">
        <v>20</v>
      </c>
      <c r="I6" s="491" t="s">
        <v>17</v>
      </c>
      <c r="J6" s="492" t="s">
        <v>1477</v>
      </c>
      <c r="K6" s="487" t="s">
        <v>1478</v>
      </c>
      <c r="L6" s="491" t="s">
        <v>17</v>
      </c>
      <c r="M6" s="492" t="s">
        <v>1477</v>
      </c>
      <c r="N6" s="491" t="s">
        <v>17</v>
      </c>
      <c r="O6" s="492" t="s">
        <v>1477</v>
      </c>
      <c r="P6" s="491" t="s">
        <v>17</v>
      </c>
      <c r="Q6" s="492" t="s">
        <v>1477</v>
      </c>
      <c r="R6" s="487" t="s">
        <v>1479</v>
      </c>
      <c r="S6" s="488" t="s">
        <v>1480</v>
      </c>
    </row>
    <row r="7" spans="1:19" ht="18.75">
      <c r="A7" s="495">
        <v>1</v>
      </c>
      <c r="B7" s="495">
        <v>2</v>
      </c>
      <c r="C7" s="495">
        <v>3</v>
      </c>
      <c r="D7" s="495">
        <v>4</v>
      </c>
      <c r="E7" s="495">
        <v>5</v>
      </c>
      <c r="F7" s="495">
        <v>6</v>
      </c>
      <c r="G7" s="495">
        <v>7</v>
      </c>
      <c r="H7" s="495">
        <v>8</v>
      </c>
      <c r="I7" s="495">
        <v>9</v>
      </c>
      <c r="J7" s="495">
        <v>10</v>
      </c>
      <c r="K7" s="495">
        <v>11</v>
      </c>
      <c r="L7" s="495">
        <v>12</v>
      </c>
      <c r="M7" s="495">
        <v>13</v>
      </c>
      <c r="N7" s="495">
        <v>14</v>
      </c>
      <c r="O7" s="495">
        <v>15</v>
      </c>
      <c r="P7" s="495">
        <v>16</v>
      </c>
      <c r="Q7" s="495">
        <v>17</v>
      </c>
      <c r="R7" s="495">
        <v>18</v>
      </c>
      <c r="S7" s="495">
        <v>19</v>
      </c>
    </row>
    <row r="8" spans="1:19" ht="22.5">
      <c r="A8" s="1497" t="s">
        <v>2546</v>
      </c>
      <c r="B8" s="1497"/>
      <c r="C8" s="1497"/>
      <c r="D8" s="1497"/>
      <c r="E8" s="1497"/>
      <c r="F8" s="1497"/>
      <c r="G8" s="1497"/>
      <c r="H8" s="1497"/>
      <c r="I8" s="1497"/>
      <c r="J8" s="1497"/>
      <c r="K8" s="1497"/>
      <c r="L8" s="1497"/>
      <c r="M8" s="1497"/>
      <c r="N8" s="1497"/>
      <c r="O8" s="1497"/>
      <c r="P8" s="1497"/>
      <c r="Q8" s="1497"/>
      <c r="R8" s="1497"/>
      <c r="S8" s="1497"/>
    </row>
    <row r="9" spans="1:19" ht="56.25">
      <c r="A9" s="436">
        <v>1</v>
      </c>
      <c r="B9" s="436">
        <v>735768</v>
      </c>
      <c r="C9" s="496" t="s">
        <v>1186</v>
      </c>
      <c r="D9" s="496" t="s">
        <v>2620</v>
      </c>
      <c r="E9" s="456">
        <v>6.5</v>
      </c>
      <c r="F9" s="456">
        <v>6.5</v>
      </c>
      <c r="G9" s="456" t="s">
        <v>1280</v>
      </c>
      <c r="H9" s="456" t="s">
        <v>2622</v>
      </c>
      <c r="I9" s="475">
        <v>0</v>
      </c>
      <c r="J9" s="497">
        <f t="shared" ref="J9:J67" si="0">IF(I9="","",I9/F9)</f>
        <v>0</v>
      </c>
      <c r="K9" s="498">
        <v>43361</v>
      </c>
      <c r="L9" s="475"/>
      <c r="M9" s="499" t="str">
        <f t="shared" ref="M9:M67" si="1">IF(I9="",L9/F9,"")</f>
        <v/>
      </c>
      <c r="N9" s="475">
        <v>1.3</v>
      </c>
      <c r="O9" s="499">
        <f t="shared" ref="O9:O67" si="2">N9/F9</f>
        <v>0.2</v>
      </c>
      <c r="P9" s="475">
        <v>6.5</v>
      </c>
      <c r="Q9" s="497">
        <f t="shared" ref="Q9:Q67" si="3">P9/F9</f>
        <v>1</v>
      </c>
      <c r="R9" s="718" t="s">
        <v>1488</v>
      </c>
      <c r="S9" s="718">
        <v>2019</v>
      </c>
    </row>
    <row r="10" spans="1:19" ht="56.25">
      <c r="A10" s="436">
        <v>2</v>
      </c>
      <c r="B10" s="436">
        <v>744982</v>
      </c>
      <c r="C10" s="500" t="s">
        <v>1188</v>
      </c>
      <c r="D10" s="496" t="s">
        <v>2620</v>
      </c>
      <c r="E10" s="456">
        <v>1.6020000000000001</v>
      </c>
      <c r="F10" s="456">
        <v>1.6020000000000001</v>
      </c>
      <c r="G10" s="456" t="s">
        <v>1280</v>
      </c>
      <c r="H10" s="456" t="s">
        <v>2623</v>
      </c>
      <c r="I10" s="475">
        <v>0</v>
      </c>
      <c r="J10" s="497">
        <f t="shared" si="0"/>
        <v>0</v>
      </c>
      <c r="K10" s="498">
        <v>43361</v>
      </c>
      <c r="L10" s="475"/>
      <c r="M10" s="499" t="str">
        <f t="shared" si="1"/>
        <v/>
      </c>
      <c r="N10" s="475">
        <v>0</v>
      </c>
      <c r="O10" s="499">
        <f t="shared" si="2"/>
        <v>0</v>
      </c>
      <c r="P10" s="475">
        <v>0</v>
      </c>
      <c r="Q10" s="497">
        <f t="shared" si="3"/>
        <v>0</v>
      </c>
      <c r="R10" s="718" t="s">
        <v>1488</v>
      </c>
      <c r="S10" s="718">
        <v>2019</v>
      </c>
    </row>
    <row r="11" spans="1:19" ht="56.25">
      <c r="A11" s="436">
        <v>3</v>
      </c>
      <c r="B11" s="436">
        <v>736105</v>
      </c>
      <c r="C11" s="500" t="s">
        <v>1190</v>
      </c>
      <c r="D11" s="496" t="s">
        <v>2620</v>
      </c>
      <c r="E11" s="456">
        <v>0.6</v>
      </c>
      <c r="F11" s="456">
        <v>0.6</v>
      </c>
      <c r="G11" s="456" t="s">
        <v>1280</v>
      </c>
      <c r="H11" s="456" t="s">
        <v>2624</v>
      </c>
      <c r="I11" s="475">
        <v>0.6</v>
      </c>
      <c r="J11" s="497">
        <f t="shared" si="0"/>
        <v>1</v>
      </c>
      <c r="K11" s="498">
        <v>43361</v>
      </c>
      <c r="L11" s="475"/>
      <c r="M11" s="499" t="str">
        <f t="shared" si="1"/>
        <v/>
      </c>
      <c r="N11" s="475">
        <v>0.6</v>
      </c>
      <c r="O11" s="499">
        <f t="shared" si="2"/>
        <v>1</v>
      </c>
      <c r="P11" s="475">
        <v>0.6</v>
      </c>
      <c r="Q11" s="497">
        <f t="shared" si="3"/>
        <v>1</v>
      </c>
      <c r="R11" s="718" t="s">
        <v>1488</v>
      </c>
      <c r="S11" s="718">
        <v>2019</v>
      </c>
    </row>
    <row r="12" spans="1:19" ht="56.25">
      <c r="A12" s="436">
        <v>4</v>
      </c>
      <c r="B12" s="436">
        <v>734983</v>
      </c>
      <c r="C12" s="500" t="s">
        <v>1192</v>
      </c>
      <c r="D12" s="496" t="s">
        <v>2620</v>
      </c>
      <c r="E12" s="456">
        <v>3.1</v>
      </c>
      <c r="F12" s="456">
        <v>3.1</v>
      </c>
      <c r="G12" s="456" t="s">
        <v>2625</v>
      </c>
      <c r="H12" s="456" t="s">
        <v>2626</v>
      </c>
      <c r="I12" s="475">
        <v>3.1</v>
      </c>
      <c r="J12" s="497">
        <f t="shared" si="0"/>
        <v>1</v>
      </c>
      <c r="K12" s="498">
        <v>43361</v>
      </c>
      <c r="L12" s="475"/>
      <c r="M12" s="499" t="str">
        <f t="shared" si="1"/>
        <v/>
      </c>
      <c r="N12" s="475">
        <v>3.1</v>
      </c>
      <c r="O12" s="499">
        <f t="shared" si="2"/>
        <v>1</v>
      </c>
      <c r="P12" s="475">
        <v>3.1</v>
      </c>
      <c r="Q12" s="497">
        <f t="shared" si="3"/>
        <v>1</v>
      </c>
      <c r="R12" s="718" t="s">
        <v>1488</v>
      </c>
      <c r="S12" s="718">
        <v>2019</v>
      </c>
    </row>
    <row r="13" spans="1:19" ht="56.25">
      <c r="A13" s="436">
        <v>5</v>
      </c>
      <c r="B13" s="436">
        <v>737494</v>
      </c>
      <c r="C13" s="500" t="s">
        <v>1195</v>
      </c>
      <c r="D13" s="496" t="s">
        <v>2620</v>
      </c>
      <c r="E13" s="456">
        <v>2</v>
      </c>
      <c r="F13" s="456">
        <v>2</v>
      </c>
      <c r="G13" s="456" t="s">
        <v>2627</v>
      </c>
      <c r="H13" s="456" t="s">
        <v>2628</v>
      </c>
      <c r="I13" s="475">
        <v>2</v>
      </c>
      <c r="J13" s="497">
        <f t="shared" si="0"/>
        <v>1</v>
      </c>
      <c r="K13" s="498">
        <v>43361</v>
      </c>
      <c r="L13" s="475"/>
      <c r="M13" s="499" t="str">
        <f t="shared" si="1"/>
        <v/>
      </c>
      <c r="N13" s="475">
        <v>2</v>
      </c>
      <c r="O13" s="499">
        <f t="shared" si="2"/>
        <v>1</v>
      </c>
      <c r="P13" s="475">
        <v>2</v>
      </c>
      <c r="Q13" s="497">
        <f t="shared" si="3"/>
        <v>1</v>
      </c>
      <c r="R13" s="718" t="s">
        <v>1488</v>
      </c>
      <c r="S13" s="718">
        <v>2019</v>
      </c>
    </row>
    <row r="14" spans="1:19" ht="56.25">
      <c r="A14" s="436">
        <v>6</v>
      </c>
      <c r="B14" s="436"/>
      <c r="C14" s="500" t="s">
        <v>1197</v>
      </c>
      <c r="D14" s="496" t="s">
        <v>2620</v>
      </c>
      <c r="E14" s="456">
        <v>1.9</v>
      </c>
      <c r="F14" s="456">
        <v>1.9</v>
      </c>
      <c r="G14" s="456" t="s">
        <v>1280</v>
      </c>
      <c r="H14" s="456" t="s">
        <v>2629</v>
      </c>
      <c r="I14" s="475">
        <v>1.9</v>
      </c>
      <c r="J14" s="497">
        <f t="shared" si="0"/>
        <v>1</v>
      </c>
      <c r="K14" s="498">
        <v>43361</v>
      </c>
      <c r="L14" s="475"/>
      <c r="M14" s="499" t="str">
        <f t="shared" si="1"/>
        <v/>
      </c>
      <c r="N14" s="475">
        <v>1.9</v>
      </c>
      <c r="O14" s="499">
        <f t="shared" si="2"/>
        <v>1</v>
      </c>
      <c r="P14" s="475">
        <v>1.9</v>
      </c>
      <c r="Q14" s="497">
        <f t="shared" si="3"/>
        <v>1</v>
      </c>
      <c r="R14" s="718" t="s">
        <v>1488</v>
      </c>
      <c r="S14" s="718">
        <v>2019</v>
      </c>
    </row>
    <row r="15" spans="1:19" ht="56.25">
      <c r="A15" s="436">
        <v>7</v>
      </c>
      <c r="B15" s="436">
        <v>736760</v>
      </c>
      <c r="C15" s="496" t="s">
        <v>1198</v>
      </c>
      <c r="D15" s="496" t="s">
        <v>2620</v>
      </c>
      <c r="E15" s="456">
        <v>7.4</v>
      </c>
      <c r="F15" s="456">
        <v>7.4</v>
      </c>
      <c r="G15" s="456" t="s">
        <v>1280</v>
      </c>
      <c r="H15" s="456" t="s">
        <v>2630</v>
      </c>
      <c r="I15" s="475">
        <v>0</v>
      </c>
      <c r="J15" s="497">
        <f t="shared" si="0"/>
        <v>0</v>
      </c>
      <c r="K15" s="498">
        <v>43361</v>
      </c>
      <c r="L15" s="475"/>
      <c r="M15" s="499" t="str">
        <f t="shared" si="1"/>
        <v/>
      </c>
      <c r="N15" s="475">
        <v>0.8</v>
      </c>
      <c r="O15" s="499">
        <f t="shared" si="2"/>
        <v>0.10810810810810811</v>
      </c>
      <c r="P15" s="475">
        <v>4.82</v>
      </c>
      <c r="Q15" s="497">
        <f t="shared" si="3"/>
        <v>0.65135135135135136</v>
      </c>
      <c r="R15" s="718" t="s">
        <v>1488</v>
      </c>
      <c r="S15" s="718">
        <v>2019</v>
      </c>
    </row>
    <row r="16" spans="1:19" ht="56.25">
      <c r="A16" s="436">
        <v>8</v>
      </c>
      <c r="B16" s="436">
        <v>749919</v>
      </c>
      <c r="C16" s="496" t="s">
        <v>1201</v>
      </c>
      <c r="D16" s="496" t="s">
        <v>2620</v>
      </c>
      <c r="E16" s="456">
        <v>2.1</v>
      </c>
      <c r="F16" s="456">
        <v>2.1</v>
      </c>
      <c r="G16" s="456" t="s">
        <v>1280</v>
      </c>
      <c r="H16" s="456" t="s">
        <v>2631</v>
      </c>
      <c r="I16" s="475">
        <v>0</v>
      </c>
      <c r="J16" s="497">
        <f t="shared" si="0"/>
        <v>0</v>
      </c>
      <c r="K16" s="498">
        <v>43361</v>
      </c>
      <c r="L16" s="475"/>
      <c r="M16" s="499" t="str">
        <f t="shared" si="1"/>
        <v/>
      </c>
      <c r="N16" s="475">
        <v>0.7</v>
      </c>
      <c r="O16" s="499">
        <f t="shared" si="2"/>
        <v>0.33333333333333331</v>
      </c>
      <c r="P16" s="475">
        <v>2.1</v>
      </c>
      <c r="Q16" s="497">
        <f t="shared" si="3"/>
        <v>1</v>
      </c>
      <c r="R16" s="718" t="s">
        <v>1488</v>
      </c>
      <c r="S16" s="718">
        <v>2019</v>
      </c>
    </row>
    <row r="17" spans="1:19" ht="56.25">
      <c r="A17" s="436">
        <v>9</v>
      </c>
      <c r="B17" s="436">
        <v>749919</v>
      </c>
      <c r="C17" s="500" t="s">
        <v>1203</v>
      </c>
      <c r="D17" s="496" t="s">
        <v>2620</v>
      </c>
      <c r="E17" s="456">
        <v>3.77</v>
      </c>
      <c r="F17" s="456">
        <v>3.77</v>
      </c>
      <c r="G17" s="456" t="s">
        <v>1280</v>
      </c>
      <c r="H17" s="456" t="s">
        <v>2632</v>
      </c>
      <c r="I17" s="475">
        <v>1.87</v>
      </c>
      <c r="J17" s="497">
        <f t="shared" si="0"/>
        <v>0.49602122015915123</v>
      </c>
      <c r="K17" s="498">
        <v>43361</v>
      </c>
      <c r="L17" s="475"/>
      <c r="M17" s="499" t="str">
        <f t="shared" si="1"/>
        <v/>
      </c>
      <c r="N17" s="475">
        <v>1.87</v>
      </c>
      <c r="O17" s="499">
        <f t="shared" si="2"/>
        <v>0.49602122015915123</v>
      </c>
      <c r="P17" s="475">
        <v>3.77</v>
      </c>
      <c r="Q17" s="497">
        <f t="shared" si="3"/>
        <v>1</v>
      </c>
      <c r="R17" s="718" t="s">
        <v>1488</v>
      </c>
      <c r="S17" s="718">
        <v>2019</v>
      </c>
    </row>
    <row r="18" spans="1:19" ht="56.25">
      <c r="A18" s="436">
        <v>10</v>
      </c>
      <c r="B18" s="436">
        <v>742129</v>
      </c>
      <c r="C18" s="496" t="s">
        <v>1204</v>
      </c>
      <c r="D18" s="496" t="s">
        <v>2620</v>
      </c>
      <c r="E18" s="456">
        <v>1.903</v>
      </c>
      <c r="F18" s="456">
        <v>1.903</v>
      </c>
      <c r="G18" s="456" t="s">
        <v>1280</v>
      </c>
      <c r="H18" s="456" t="s">
        <v>2629</v>
      </c>
      <c r="I18" s="475">
        <v>0</v>
      </c>
      <c r="J18" s="497">
        <f t="shared" si="0"/>
        <v>0</v>
      </c>
      <c r="K18" s="498">
        <v>43361</v>
      </c>
      <c r="L18" s="475"/>
      <c r="M18" s="499" t="str">
        <f t="shared" si="1"/>
        <v/>
      </c>
      <c r="N18" s="456">
        <v>1.903</v>
      </c>
      <c r="O18" s="499">
        <f t="shared" si="2"/>
        <v>1</v>
      </c>
      <c r="P18" s="456">
        <v>1.903</v>
      </c>
      <c r="Q18" s="497">
        <f t="shared" si="3"/>
        <v>1</v>
      </c>
      <c r="R18" s="718" t="s">
        <v>1488</v>
      </c>
      <c r="S18" s="718">
        <v>2019</v>
      </c>
    </row>
    <row r="19" spans="1:19" ht="56.25">
      <c r="A19" s="436">
        <v>11</v>
      </c>
      <c r="B19" s="436">
        <v>742353</v>
      </c>
      <c r="C19" s="496" t="s">
        <v>1205</v>
      </c>
      <c r="D19" s="496" t="s">
        <v>2620</v>
      </c>
      <c r="E19" s="456">
        <v>2.7</v>
      </c>
      <c r="F19" s="456">
        <v>2.7</v>
      </c>
      <c r="G19" s="456" t="s">
        <v>2627</v>
      </c>
      <c r="H19" s="456" t="s">
        <v>2633</v>
      </c>
      <c r="I19" s="475">
        <v>0</v>
      </c>
      <c r="J19" s="497">
        <f t="shared" si="0"/>
        <v>0</v>
      </c>
      <c r="K19" s="498">
        <v>43361</v>
      </c>
      <c r="L19" s="475"/>
      <c r="M19" s="499" t="str">
        <f t="shared" si="1"/>
        <v/>
      </c>
      <c r="N19" s="475">
        <v>0.3</v>
      </c>
      <c r="O19" s="499">
        <f t="shared" si="2"/>
        <v>0.1111111111111111</v>
      </c>
      <c r="P19" s="475">
        <v>2.7</v>
      </c>
      <c r="Q19" s="497">
        <f t="shared" si="3"/>
        <v>1</v>
      </c>
      <c r="R19" s="718" t="s">
        <v>1488</v>
      </c>
      <c r="S19" s="718">
        <v>2019</v>
      </c>
    </row>
    <row r="20" spans="1:19" ht="56.25">
      <c r="A20" s="436">
        <v>12</v>
      </c>
      <c r="B20" s="436">
        <v>737516</v>
      </c>
      <c r="C20" s="496" t="s">
        <v>1207</v>
      </c>
      <c r="D20" s="496" t="s">
        <v>2620</v>
      </c>
      <c r="E20" s="456">
        <v>0.37</v>
      </c>
      <c r="F20" s="456">
        <v>0.37</v>
      </c>
      <c r="G20" s="456" t="s">
        <v>1280</v>
      </c>
      <c r="H20" s="456" t="s">
        <v>2634</v>
      </c>
      <c r="I20" s="475">
        <v>0</v>
      </c>
      <c r="J20" s="497">
        <f t="shared" si="0"/>
        <v>0</v>
      </c>
      <c r="K20" s="498">
        <v>43361</v>
      </c>
      <c r="L20" s="475"/>
      <c r="M20" s="499" t="str">
        <f t="shared" si="1"/>
        <v/>
      </c>
      <c r="N20" s="475">
        <v>0</v>
      </c>
      <c r="O20" s="499">
        <f t="shared" si="2"/>
        <v>0</v>
      </c>
      <c r="P20" s="475">
        <v>0.37</v>
      </c>
      <c r="Q20" s="497">
        <f t="shared" si="3"/>
        <v>1</v>
      </c>
      <c r="R20" s="718" t="s">
        <v>1488</v>
      </c>
      <c r="S20" s="718">
        <v>2019</v>
      </c>
    </row>
    <row r="21" spans="1:19" ht="56.25">
      <c r="A21" s="436">
        <v>13</v>
      </c>
      <c r="B21" s="436">
        <v>735993</v>
      </c>
      <c r="C21" s="496" t="s">
        <v>1208</v>
      </c>
      <c r="D21" s="496" t="s">
        <v>2620</v>
      </c>
      <c r="E21" s="456">
        <v>0.9</v>
      </c>
      <c r="F21" s="456">
        <v>0.9</v>
      </c>
      <c r="G21" s="456" t="s">
        <v>1280</v>
      </c>
      <c r="H21" s="456" t="s">
        <v>2635</v>
      </c>
      <c r="I21" s="475">
        <v>0</v>
      </c>
      <c r="J21" s="497">
        <f t="shared" si="0"/>
        <v>0</v>
      </c>
      <c r="K21" s="498">
        <v>43361</v>
      </c>
      <c r="L21" s="475"/>
      <c r="M21" s="499" t="str">
        <f t="shared" si="1"/>
        <v/>
      </c>
      <c r="N21" s="475">
        <v>0.9</v>
      </c>
      <c r="O21" s="499">
        <f t="shared" si="2"/>
        <v>1</v>
      </c>
      <c r="P21" s="475">
        <v>0.9</v>
      </c>
      <c r="Q21" s="497">
        <f t="shared" si="3"/>
        <v>1</v>
      </c>
      <c r="R21" s="718" t="s">
        <v>1488</v>
      </c>
      <c r="S21" s="718">
        <v>2019</v>
      </c>
    </row>
    <row r="22" spans="1:19" ht="56.25">
      <c r="A22" s="436">
        <v>14</v>
      </c>
      <c r="B22" s="436">
        <v>737469</v>
      </c>
      <c r="C22" s="496" t="s">
        <v>1209</v>
      </c>
      <c r="D22" s="496" t="s">
        <v>2620</v>
      </c>
      <c r="E22" s="456">
        <v>2.5</v>
      </c>
      <c r="F22" s="456">
        <v>2.5</v>
      </c>
      <c r="G22" s="456" t="s">
        <v>2636</v>
      </c>
      <c r="H22" s="456" t="s">
        <v>2637</v>
      </c>
      <c r="I22" s="475">
        <v>0</v>
      </c>
      <c r="J22" s="497">
        <f t="shared" si="0"/>
        <v>0</v>
      </c>
      <c r="K22" s="498">
        <v>43361</v>
      </c>
      <c r="L22" s="475"/>
      <c r="M22" s="499" t="str">
        <f t="shared" si="1"/>
        <v/>
      </c>
      <c r="N22" s="475">
        <v>0</v>
      </c>
      <c r="O22" s="499">
        <f t="shared" si="2"/>
        <v>0</v>
      </c>
      <c r="P22" s="475">
        <v>2.5</v>
      </c>
      <c r="Q22" s="497">
        <f t="shared" si="3"/>
        <v>1</v>
      </c>
      <c r="R22" s="718" t="s">
        <v>1488</v>
      </c>
      <c r="S22" s="718">
        <v>2019</v>
      </c>
    </row>
    <row r="23" spans="1:19" ht="56.25">
      <c r="A23" s="436">
        <v>15</v>
      </c>
      <c r="B23" s="436">
        <v>739547</v>
      </c>
      <c r="C23" s="496" t="s">
        <v>1211</v>
      </c>
      <c r="D23" s="496" t="s">
        <v>2620</v>
      </c>
      <c r="E23" s="456">
        <v>1</v>
      </c>
      <c r="F23" s="456">
        <v>1</v>
      </c>
      <c r="G23" s="456" t="s">
        <v>2627</v>
      </c>
      <c r="H23" s="456" t="s">
        <v>2638</v>
      </c>
      <c r="I23" s="475">
        <v>0</v>
      </c>
      <c r="J23" s="497">
        <f t="shared" si="0"/>
        <v>0</v>
      </c>
      <c r="K23" s="498">
        <v>43361</v>
      </c>
      <c r="L23" s="475"/>
      <c r="M23" s="499" t="str">
        <f t="shared" si="1"/>
        <v/>
      </c>
      <c r="N23" s="475">
        <v>0</v>
      </c>
      <c r="O23" s="499">
        <f t="shared" si="2"/>
        <v>0</v>
      </c>
      <c r="P23" s="475">
        <v>1</v>
      </c>
      <c r="Q23" s="497">
        <f t="shared" si="3"/>
        <v>1</v>
      </c>
      <c r="R23" s="718" t="s">
        <v>1488</v>
      </c>
      <c r="S23" s="718">
        <v>2019</v>
      </c>
    </row>
    <row r="24" spans="1:19" ht="56.25">
      <c r="A24" s="436">
        <v>16</v>
      </c>
      <c r="B24" s="436">
        <v>743052</v>
      </c>
      <c r="C24" s="496" t="s">
        <v>1212</v>
      </c>
      <c r="D24" s="496" t="s">
        <v>2620</v>
      </c>
      <c r="E24" s="456">
        <v>1.5</v>
      </c>
      <c r="F24" s="456">
        <v>1.5</v>
      </c>
      <c r="G24" s="456" t="s">
        <v>2627</v>
      </c>
      <c r="H24" s="456" t="s">
        <v>2639</v>
      </c>
      <c r="I24" s="475">
        <v>0</v>
      </c>
      <c r="J24" s="497">
        <f t="shared" si="0"/>
        <v>0</v>
      </c>
      <c r="K24" s="498">
        <v>43361</v>
      </c>
      <c r="L24" s="475"/>
      <c r="M24" s="499" t="str">
        <f t="shared" si="1"/>
        <v/>
      </c>
      <c r="N24" s="475">
        <v>0</v>
      </c>
      <c r="O24" s="499">
        <f t="shared" si="2"/>
        <v>0</v>
      </c>
      <c r="P24" s="475">
        <v>1.5</v>
      </c>
      <c r="Q24" s="497">
        <f t="shared" si="3"/>
        <v>1</v>
      </c>
      <c r="R24" s="718" t="s">
        <v>1488</v>
      </c>
      <c r="S24" s="718">
        <v>2019</v>
      </c>
    </row>
    <row r="25" spans="1:19" ht="56.25">
      <c r="A25" s="436">
        <v>17</v>
      </c>
      <c r="B25" s="436">
        <v>737847</v>
      </c>
      <c r="C25" s="496" t="s">
        <v>1214</v>
      </c>
      <c r="D25" s="496" t="s">
        <v>2620</v>
      </c>
      <c r="E25" s="456">
        <v>0.4</v>
      </c>
      <c r="F25" s="456">
        <v>0.4</v>
      </c>
      <c r="G25" s="456" t="s">
        <v>1280</v>
      </c>
      <c r="H25" s="456" t="s">
        <v>2640</v>
      </c>
      <c r="I25" s="456">
        <v>0.4</v>
      </c>
      <c r="J25" s="497">
        <f t="shared" si="0"/>
        <v>1</v>
      </c>
      <c r="K25" s="498">
        <v>43361</v>
      </c>
      <c r="L25" s="475"/>
      <c r="M25" s="499" t="str">
        <f t="shared" si="1"/>
        <v/>
      </c>
      <c r="N25" s="456">
        <v>0.4</v>
      </c>
      <c r="O25" s="499">
        <f t="shared" si="2"/>
        <v>1</v>
      </c>
      <c r="P25" s="475">
        <v>0.4</v>
      </c>
      <c r="Q25" s="497">
        <f t="shared" si="3"/>
        <v>1</v>
      </c>
      <c r="R25" s="718" t="s">
        <v>1488</v>
      </c>
      <c r="S25" s="718">
        <v>2019</v>
      </c>
    </row>
    <row r="26" spans="1:19" ht="56.25">
      <c r="A26" s="436">
        <v>18</v>
      </c>
      <c r="B26" s="436">
        <v>739560</v>
      </c>
      <c r="C26" s="496" t="s">
        <v>1215</v>
      </c>
      <c r="D26" s="496" t="s">
        <v>2620</v>
      </c>
      <c r="E26" s="456">
        <v>1</v>
      </c>
      <c r="F26" s="456">
        <v>1</v>
      </c>
      <c r="G26" s="456" t="s">
        <v>1280</v>
      </c>
      <c r="H26" s="456" t="s">
        <v>2641</v>
      </c>
      <c r="I26" s="475">
        <v>0</v>
      </c>
      <c r="J26" s="497">
        <f t="shared" si="0"/>
        <v>0</v>
      </c>
      <c r="K26" s="498">
        <v>43361</v>
      </c>
      <c r="L26" s="475"/>
      <c r="M26" s="499" t="str">
        <f t="shared" si="1"/>
        <v/>
      </c>
      <c r="N26" s="475">
        <v>1</v>
      </c>
      <c r="O26" s="499">
        <f t="shared" si="2"/>
        <v>1</v>
      </c>
      <c r="P26" s="475">
        <v>1</v>
      </c>
      <c r="Q26" s="497">
        <f t="shared" si="3"/>
        <v>1</v>
      </c>
      <c r="R26" s="718" t="s">
        <v>1488</v>
      </c>
      <c r="S26" s="718">
        <v>2019</v>
      </c>
    </row>
    <row r="27" spans="1:19" ht="56.25">
      <c r="A27" s="436">
        <v>19</v>
      </c>
      <c r="B27" s="436">
        <v>734792</v>
      </c>
      <c r="C27" s="496" t="s">
        <v>1216</v>
      </c>
      <c r="D27" s="496" t="s">
        <v>2620</v>
      </c>
      <c r="E27" s="456">
        <v>1.5</v>
      </c>
      <c r="F27" s="456">
        <v>1.5</v>
      </c>
      <c r="G27" s="456" t="s">
        <v>1280</v>
      </c>
      <c r="H27" s="456" t="s">
        <v>2642</v>
      </c>
      <c r="I27" s="475">
        <v>0</v>
      </c>
      <c r="J27" s="497">
        <f t="shared" si="0"/>
        <v>0</v>
      </c>
      <c r="K27" s="498">
        <v>43361</v>
      </c>
      <c r="L27" s="475"/>
      <c r="M27" s="499" t="str">
        <f t="shared" si="1"/>
        <v/>
      </c>
      <c r="N27" s="475">
        <v>0.2</v>
      </c>
      <c r="O27" s="499">
        <f t="shared" si="2"/>
        <v>0.13333333333333333</v>
      </c>
      <c r="P27" s="475">
        <v>1.5</v>
      </c>
      <c r="Q27" s="497">
        <f t="shared" si="3"/>
        <v>1</v>
      </c>
      <c r="R27" s="718" t="s">
        <v>1488</v>
      </c>
      <c r="S27" s="718">
        <v>2019</v>
      </c>
    </row>
    <row r="28" spans="1:19" ht="56.25">
      <c r="A28" s="436">
        <v>20</v>
      </c>
      <c r="B28" s="436">
        <v>738885</v>
      </c>
      <c r="C28" s="496" t="s">
        <v>1217</v>
      </c>
      <c r="D28" s="496" t="s">
        <v>2620</v>
      </c>
      <c r="E28" s="456">
        <v>1.9</v>
      </c>
      <c r="F28" s="456">
        <v>1.9</v>
      </c>
      <c r="G28" s="456" t="s">
        <v>2643</v>
      </c>
      <c r="H28" s="456" t="s">
        <v>2644</v>
      </c>
      <c r="I28" s="475">
        <v>0</v>
      </c>
      <c r="J28" s="497">
        <f t="shared" si="0"/>
        <v>0</v>
      </c>
      <c r="K28" s="498">
        <v>43361</v>
      </c>
      <c r="L28" s="475"/>
      <c r="M28" s="499" t="str">
        <f t="shared" si="1"/>
        <v/>
      </c>
      <c r="N28" s="475">
        <v>1.9</v>
      </c>
      <c r="O28" s="499">
        <f t="shared" si="2"/>
        <v>1</v>
      </c>
      <c r="P28" s="475">
        <v>1.9</v>
      </c>
      <c r="Q28" s="497">
        <f t="shared" si="3"/>
        <v>1</v>
      </c>
      <c r="R28" s="718" t="s">
        <v>1488</v>
      </c>
      <c r="S28" s="718">
        <v>2019</v>
      </c>
    </row>
    <row r="29" spans="1:19" ht="56.25">
      <c r="A29" s="436">
        <v>21</v>
      </c>
      <c r="B29" s="436">
        <v>735636</v>
      </c>
      <c r="C29" s="496" t="s">
        <v>1218</v>
      </c>
      <c r="D29" s="496" t="s">
        <v>2620</v>
      </c>
      <c r="E29" s="456">
        <v>1.6</v>
      </c>
      <c r="F29" s="456">
        <v>1.6</v>
      </c>
      <c r="G29" s="456" t="s">
        <v>2645</v>
      </c>
      <c r="H29" s="456" t="s">
        <v>2646</v>
      </c>
      <c r="I29" s="475">
        <v>0</v>
      </c>
      <c r="J29" s="497">
        <f t="shared" si="0"/>
        <v>0</v>
      </c>
      <c r="K29" s="498">
        <v>43361</v>
      </c>
      <c r="L29" s="475"/>
      <c r="M29" s="499" t="str">
        <f t="shared" si="1"/>
        <v/>
      </c>
      <c r="N29" s="475">
        <v>0</v>
      </c>
      <c r="O29" s="499">
        <f t="shared" si="2"/>
        <v>0</v>
      </c>
      <c r="P29" s="475">
        <v>1.6</v>
      </c>
      <c r="Q29" s="497">
        <f t="shared" si="3"/>
        <v>1</v>
      </c>
      <c r="R29" s="718" t="s">
        <v>1488</v>
      </c>
      <c r="S29" s="718">
        <v>2019</v>
      </c>
    </row>
    <row r="30" spans="1:19" ht="56.25">
      <c r="A30" s="436">
        <v>22</v>
      </c>
      <c r="B30" s="436">
        <v>736754</v>
      </c>
      <c r="C30" s="496" t="s">
        <v>1219</v>
      </c>
      <c r="D30" s="496" t="s">
        <v>2620</v>
      </c>
      <c r="E30" s="456">
        <v>1.6</v>
      </c>
      <c r="F30" s="456">
        <v>1.6</v>
      </c>
      <c r="G30" s="456" t="s">
        <v>1280</v>
      </c>
      <c r="H30" s="456" t="s">
        <v>2623</v>
      </c>
      <c r="I30" s="475">
        <v>0</v>
      </c>
      <c r="J30" s="497">
        <f t="shared" si="0"/>
        <v>0</v>
      </c>
      <c r="K30" s="498">
        <v>43361</v>
      </c>
      <c r="L30" s="475"/>
      <c r="M30" s="499" t="str">
        <f t="shared" si="1"/>
        <v/>
      </c>
      <c r="N30" s="475">
        <v>0</v>
      </c>
      <c r="O30" s="499">
        <f t="shared" si="2"/>
        <v>0</v>
      </c>
      <c r="P30" s="475">
        <v>1.6</v>
      </c>
      <c r="Q30" s="497">
        <f t="shared" si="3"/>
        <v>1</v>
      </c>
      <c r="R30" s="718" t="s">
        <v>1488</v>
      </c>
      <c r="S30" s="718">
        <v>2019</v>
      </c>
    </row>
    <row r="31" spans="1:19" ht="56.25">
      <c r="A31" s="436">
        <v>23</v>
      </c>
      <c r="B31" s="436">
        <v>737402</v>
      </c>
      <c r="C31" s="496" t="s">
        <v>1220</v>
      </c>
      <c r="D31" s="496" t="s">
        <v>2620</v>
      </c>
      <c r="E31" s="456">
        <v>3.1</v>
      </c>
      <c r="F31" s="456">
        <v>3.1</v>
      </c>
      <c r="G31" s="456" t="s">
        <v>2647</v>
      </c>
      <c r="H31" s="456" t="s">
        <v>2648</v>
      </c>
      <c r="I31" s="475">
        <v>0</v>
      </c>
      <c r="J31" s="497">
        <f t="shared" si="0"/>
        <v>0</v>
      </c>
      <c r="K31" s="498">
        <v>43361</v>
      </c>
      <c r="L31" s="475"/>
      <c r="M31" s="499" t="str">
        <f t="shared" si="1"/>
        <v/>
      </c>
      <c r="N31" s="475">
        <v>0.5</v>
      </c>
      <c r="O31" s="499">
        <f t="shared" si="2"/>
        <v>0.16129032258064516</v>
      </c>
      <c r="P31" s="475">
        <v>3.1</v>
      </c>
      <c r="Q31" s="497">
        <f t="shared" si="3"/>
        <v>1</v>
      </c>
      <c r="R31" s="718" t="s">
        <v>1488</v>
      </c>
      <c r="S31" s="718">
        <v>2019</v>
      </c>
    </row>
    <row r="32" spans="1:19" ht="56.25">
      <c r="A32" s="436">
        <v>24</v>
      </c>
      <c r="B32" s="436">
        <v>735768</v>
      </c>
      <c r="C32" s="496" t="s">
        <v>1221</v>
      </c>
      <c r="D32" s="496" t="s">
        <v>2620</v>
      </c>
      <c r="E32" s="456">
        <v>2.5</v>
      </c>
      <c r="F32" s="456">
        <v>2.5</v>
      </c>
      <c r="G32" s="456" t="s">
        <v>1280</v>
      </c>
      <c r="H32" s="456" t="s">
        <v>2649</v>
      </c>
      <c r="I32" s="475">
        <v>0</v>
      </c>
      <c r="J32" s="497">
        <f t="shared" si="0"/>
        <v>0</v>
      </c>
      <c r="K32" s="498">
        <v>43361</v>
      </c>
      <c r="L32" s="475"/>
      <c r="M32" s="499" t="str">
        <f t="shared" si="1"/>
        <v/>
      </c>
      <c r="N32" s="475">
        <v>0.28999999999999998</v>
      </c>
      <c r="O32" s="499">
        <f t="shared" si="2"/>
        <v>0.11599999999999999</v>
      </c>
      <c r="P32" s="475">
        <v>0.28999999999999998</v>
      </c>
      <c r="Q32" s="497">
        <f t="shared" si="3"/>
        <v>0.11599999999999999</v>
      </c>
      <c r="R32" s="718" t="s">
        <v>1488</v>
      </c>
      <c r="S32" s="718">
        <v>2019</v>
      </c>
    </row>
    <row r="33" spans="1:19" ht="56.25">
      <c r="A33" s="436">
        <v>25</v>
      </c>
      <c r="B33" s="436">
        <v>736785</v>
      </c>
      <c r="C33" s="496" t="s">
        <v>1222</v>
      </c>
      <c r="D33" s="496" t="s">
        <v>2620</v>
      </c>
      <c r="E33" s="456">
        <v>1.1000000000000001</v>
      </c>
      <c r="F33" s="456">
        <v>1.1000000000000001</v>
      </c>
      <c r="G33" s="456" t="s">
        <v>1280</v>
      </c>
      <c r="H33" s="456" t="s">
        <v>2650</v>
      </c>
      <c r="I33" s="475">
        <v>0</v>
      </c>
      <c r="J33" s="497">
        <f t="shared" si="0"/>
        <v>0</v>
      </c>
      <c r="K33" s="498">
        <v>43361</v>
      </c>
      <c r="L33" s="475"/>
      <c r="M33" s="499" t="str">
        <f t="shared" si="1"/>
        <v/>
      </c>
      <c r="N33" s="475">
        <v>0.2</v>
      </c>
      <c r="O33" s="499">
        <f t="shared" si="2"/>
        <v>0.18181818181818182</v>
      </c>
      <c r="P33" s="475">
        <v>1.1000000000000001</v>
      </c>
      <c r="Q33" s="497">
        <f t="shared" si="3"/>
        <v>1</v>
      </c>
      <c r="R33" s="718" t="s">
        <v>1488</v>
      </c>
      <c r="S33" s="718">
        <v>2019</v>
      </c>
    </row>
    <row r="34" spans="1:19" ht="56.25">
      <c r="A34" s="436">
        <v>26</v>
      </c>
      <c r="B34" s="436">
        <v>743043</v>
      </c>
      <c r="C34" s="496" t="s">
        <v>1223</v>
      </c>
      <c r="D34" s="496" t="s">
        <v>2620</v>
      </c>
      <c r="E34" s="456">
        <v>0.9</v>
      </c>
      <c r="F34" s="456">
        <v>0.9</v>
      </c>
      <c r="G34" s="456" t="s">
        <v>1280</v>
      </c>
      <c r="H34" s="456" t="s">
        <v>2635</v>
      </c>
      <c r="I34" s="475">
        <v>0</v>
      </c>
      <c r="J34" s="497">
        <f t="shared" si="0"/>
        <v>0</v>
      </c>
      <c r="K34" s="498">
        <v>43361</v>
      </c>
      <c r="L34" s="475"/>
      <c r="M34" s="499" t="str">
        <f t="shared" si="1"/>
        <v/>
      </c>
      <c r="N34" s="475">
        <v>0.2</v>
      </c>
      <c r="O34" s="499">
        <f t="shared" si="2"/>
        <v>0.22222222222222224</v>
      </c>
      <c r="P34" s="475">
        <v>0.9</v>
      </c>
      <c r="Q34" s="497">
        <f t="shared" si="3"/>
        <v>1</v>
      </c>
      <c r="R34" s="718" t="s">
        <v>1488</v>
      </c>
      <c r="S34" s="718">
        <v>2019</v>
      </c>
    </row>
    <row r="35" spans="1:19" ht="56.25">
      <c r="A35" s="436">
        <v>27</v>
      </c>
      <c r="B35" s="436">
        <v>742796</v>
      </c>
      <c r="C35" s="496" t="s">
        <v>1224</v>
      </c>
      <c r="D35" s="496" t="s">
        <v>2620</v>
      </c>
      <c r="E35" s="456">
        <v>1.05</v>
      </c>
      <c r="F35" s="456">
        <v>1.05</v>
      </c>
      <c r="G35" s="456" t="s">
        <v>1280</v>
      </c>
      <c r="H35" s="456" t="s">
        <v>2650</v>
      </c>
      <c r="I35" s="475">
        <v>0</v>
      </c>
      <c r="J35" s="497">
        <f t="shared" si="0"/>
        <v>0</v>
      </c>
      <c r="K35" s="498">
        <v>43361</v>
      </c>
      <c r="L35" s="475"/>
      <c r="M35" s="499" t="str">
        <f t="shared" si="1"/>
        <v/>
      </c>
      <c r="N35" s="475">
        <v>0</v>
      </c>
      <c r="O35" s="499">
        <f t="shared" si="2"/>
        <v>0</v>
      </c>
      <c r="P35" s="475">
        <v>1.05</v>
      </c>
      <c r="Q35" s="497">
        <f t="shared" si="3"/>
        <v>1</v>
      </c>
      <c r="R35" s="718" t="s">
        <v>1488</v>
      </c>
      <c r="S35" s="718">
        <v>2019</v>
      </c>
    </row>
    <row r="36" spans="1:19" ht="56.25">
      <c r="A36" s="436">
        <v>28</v>
      </c>
      <c r="B36" s="436">
        <v>739733</v>
      </c>
      <c r="C36" s="501" t="s">
        <v>1225</v>
      </c>
      <c r="D36" s="496" t="s">
        <v>2620</v>
      </c>
      <c r="E36" s="456">
        <v>1.4</v>
      </c>
      <c r="F36" s="456">
        <v>1.4</v>
      </c>
      <c r="G36" s="456" t="s">
        <v>1280</v>
      </c>
      <c r="H36" s="456" t="s">
        <v>2651</v>
      </c>
      <c r="I36" s="475">
        <v>0</v>
      </c>
      <c r="J36" s="497">
        <f t="shared" si="0"/>
        <v>0</v>
      </c>
      <c r="K36" s="498">
        <v>43361</v>
      </c>
      <c r="L36" s="475"/>
      <c r="M36" s="499" t="str">
        <f t="shared" si="1"/>
        <v/>
      </c>
      <c r="N36" s="475">
        <v>0</v>
      </c>
      <c r="O36" s="499">
        <f t="shared" si="2"/>
        <v>0</v>
      </c>
      <c r="P36" s="475">
        <v>1.4</v>
      </c>
      <c r="Q36" s="497">
        <f t="shared" si="3"/>
        <v>1</v>
      </c>
      <c r="R36" s="718" t="s">
        <v>1488</v>
      </c>
      <c r="S36" s="718">
        <v>2019</v>
      </c>
    </row>
    <row r="37" spans="1:19" ht="56.25">
      <c r="A37" s="436">
        <v>29</v>
      </c>
      <c r="B37" s="436">
        <v>737976</v>
      </c>
      <c r="C37" s="496" t="s">
        <v>1227</v>
      </c>
      <c r="D37" s="496" t="s">
        <v>2620</v>
      </c>
      <c r="E37" s="456">
        <v>4.383</v>
      </c>
      <c r="F37" s="456">
        <v>4.383</v>
      </c>
      <c r="G37" s="456" t="s">
        <v>2652</v>
      </c>
      <c r="H37" s="456" t="s">
        <v>2653</v>
      </c>
      <c r="I37" s="475">
        <f>4.383-2.7</f>
        <v>1.6829999999999998</v>
      </c>
      <c r="J37" s="497">
        <f t="shared" si="0"/>
        <v>0.38398357289527718</v>
      </c>
      <c r="K37" s="498">
        <v>43361</v>
      </c>
      <c r="L37" s="475"/>
      <c r="M37" s="499" t="str">
        <f t="shared" si="1"/>
        <v/>
      </c>
      <c r="N37" s="475">
        <v>3.383</v>
      </c>
      <c r="O37" s="499">
        <f t="shared" si="2"/>
        <v>0.77184576773899161</v>
      </c>
      <c r="P37" s="475">
        <v>4.383</v>
      </c>
      <c r="Q37" s="497">
        <f t="shared" si="3"/>
        <v>1</v>
      </c>
      <c r="R37" s="718" t="s">
        <v>1488</v>
      </c>
      <c r="S37" s="718">
        <v>2019</v>
      </c>
    </row>
    <row r="38" spans="1:19" ht="56.25">
      <c r="A38" s="436">
        <v>30</v>
      </c>
      <c r="B38" s="436"/>
      <c r="C38" s="496" t="s">
        <v>1228</v>
      </c>
      <c r="D38" s="496" t="s">
        <v>2620</v>
      </c>
      <c r="E38" s="456">
        <v>0.6</v>
      </c>
      <c r="F38" s="456">
        <v>0.6</v>
      </c>
      <c r="G38" s="456" t="s">
        <v>1280</v>
      </c>
      <c r="H38" s="456" t="s">
        <v>2624</v>
      </c>
      <c r="I38" s="475">
        <v>0.6</v>
      </c>
      <c r="J38" s="497">
        <f t="shared" si="0"/>
        <v>1</v>
      </c>
      <c r="K38" s="498">
        <v>43361</v>
      </c>
      <c r="L38" s="475"/>
      <c r="M38" s="499" t="str">
        <f t="shared" si="1"/>
        <v/>
      </c>
      <c r="N38" s="475">
        <v>0.6</v>
      </c>
      <c r="O38" s="499">
        <f t="shared" si="2"/>
        <v>1</v>
      </c>
      <c r="P38" s="475">
        <v>0.6</v>
      </c>
      <c r="Q38" s="497">
        <f t="shared" si="3"/>
        <v>1</v>
      </c>
      <c r="R38" s="718" t="s">
        <v>1488</v>
      </c>
      <c r="S38" s="718">
        <v>2019</v>
      </c>
    </row>
    <row r="39" spans="1:19" ht="56.25">
      <c r="A39" s="436">
        <v>31</v>
      </c>
      <c r="B39" s="432">
        <v>736881</v>
      </c>
      <c r="C39" s="496" t="s">
        <v>1229</v>
      </c>
      <c r="D39" s="496" t="s">
        <v>2620</v>
      </c>
      <c r="E39" s="456">
        <v>4.3</v>
      </c>
      <c r="F39" s="456">
        <v>4.3</v>
      </c>
      <c r="G39" s="456" t="s">
        <v>1280</v>
      </c>
      <c r="H39" s="456" t="s">
        <v>2654</v>
      </c>
      <c r="I39" s="475">
        <v>4.3</v>
      </c>
      <c r="J39" s="497">
        <f t="shared" si="0"/>
        <v>1</v>
      </c>
      <c r="K39" s="498">
        <v>43361</v>
      </c>
      <c r="L39" s="475"/>
      <c r="M39" s="499" t="str">
        <f t="shared" si="1"/>
        <v/>
      </c>
      <c r="N39" s="475">
        <v>4.3</v>
      </c>
      <c r="O39" s="499">
        <f t="shared" si="2"/>
        <v>1</v>
      </c>
      <c r="P39" s="475">
        <v>4.3</v>
      </c>
      <c r="Q39" s="497">
        <f t="shared" si="3"/>
        <v>1</v>
      </c>
      <c r="R39" s="718" t="s">
        <v>1488</v>
      </c>
      <c r="S39" s="718">
        <v>2019</v>
      </c>
    </row>
    <row r="40" spans="1:19" ht="56.25">
      <c r="A40" s="436">
        <v>32</v>
      </c>
      <c r="B40" s="436">
        <v>739483</v>
      </c>
      <c r="C40" s="496" t="s">
        <v>1230</v>
      </c>
      <c r="D40" s="496" t="s">
        <v>2620</v>
      </c>
      <c r="E40" s="456">
        <v>3.2</v>
      </c>
      <c r="F40" s="456">
        <v>3.2</v>
      </c>
      <c r="G40" s="456" t="s">
        <v>1280</v>
      </c>
      <c r="H40" s="456" t="s">
        <v>2655</v>
      </c>
      <c r="I40" s="475">
        <v>3.2</v>
      </c>
      <c r="J40" s="497">
        <f t="shared" si="0"/>
        <v>1</v>
      </c>
      <c r="K40" s="498">
        <v>43361</v>
      </c>
      <c r="L40" s="475"/>
      <c r="M40" s="499" t="str">
        <f t="shared" si="1"/>
        <v/>
      </c>
      <c r="N40" s="475">
        <v>3.2</v>
      </c>
      <c r="O40" s="499">
        <f t="shared" si="2"/>
        <v>1</v>
      </c>
      <c r="P40" s="475">
        <v>3.2</v>
      </c>
      <c r="Q40" s="497">
        <f t="shared" si="3"/>
        <v>1</v>
      </c>
      <c r="R40" s="718" t="s">
        <v>1488</v>
      </c>
      <c r="S40" s="718">
        <v>2019</v>
      </c>
    </row>
    <row r="41" spans="1:19" ht="56.25">
      <c r="A41" s="436">
        <v>33</v>
      </c>
      <c r="B41" s="436">
        <v>736234</v>
      </c>
      <c r="C41" s="500" t="s">
        <v>1232</v>
      </c>
      <c r="D41" s="496" t="s">
        <v>2620</v>
      </c>
      <c r="E41" s="456">
        <v>1.1499999999999999</v>
      </c>
      <c r="F41" s="456">
        <v>1.1499999999999999</v>
      </c>
      <c r="G41" s="456" t="s">
        <v>1280</v>
      </c>
      <c r="H41" s="456" t="s">
        <v>2656</v>
      </c>
      <c r="I41" s="475">
        <v>1.1499999999999999</v>
      </c>
      <c r="J41" s="497">
        <f t="shared" si="0"/>
        <v>1</v>
      </c>
      <c r="K41" s="498">
        <v>43361</v>
      </c>
      <c r="L41" s="475"/>
      <c r="M41" s="499" t="str">
        <f t="shared" si="1"/>
        <v/>
      </c>
      <c r="N41" s="475">
        <v>1.1499999999999999</v>
      </c>
      <c r="O41" s="499">
        <f t="shared" si="2"/>
        <v>1</v>
      </c>
      <c r="P41" s="475">
        <v>1.1499999999999999</v>
      </c>
      <c r="Q41" s="497">
        <f t="shared" si="3"/>
        <v>1</v>
      </c>
      <c r="R41" s="718" t="s">
        <v>1488</v>
      </c>
      <c r="S41" s="718">
        <v>2019</v>
      </c>
    </row>
    <row r="42" spans="1:19" ht="56.25">
      <c r="A42" s="436">
        <v>34</v>
      </c>
      <c r="B42" s="436">
        <v>742799</v>
      </c>
      <c r="C42" s="500" t="s">
        <v>1235</v>
      </c>
      <c r="D42" s="496" t="s">
        <v>2620</v>
      </c>
      <c r="E42" s="456">
        <v>1.2370000000000001</v>
      </c>
      <c r="F42" s="456">
        <v>1.2370000000000001</v>
      </c>
      <c r="G42" s="456" t="s">
        <v>2657</v>
      </c>
      <c r="H42" s="456" t="s">
        <v>2658</v>
      </c>
      <c r="I42" s="475">
        <v>1.2370000000000001</v>
      </c>
      <c r="J42" s="497">
        <f t="shared" si="0"/>
        <v>1</v>
      </c>
      <c r="K42" s="498">
        <v>43361</v>
      </c>
      <c r="L42" s="475"/>
      <c r="M42" s="499" t="str">
        <f t="shared" si="1"/>
        <v/>
      </c>
      <c r="N42" s="475">
        <v>1.2370000000000001</v>
      </c>
      <c r="O42" s="499">
        <f t="shared" si="2"/>
        <v>1</v>
      </c>
      <c r="P42" s="475">
        <v>1.2370000000000001</v>
      </c>
      <c r="Q42" s="497">
        <f t="shared" si="3"/>
        <v>1</v>
      </c>
      <c r="R42" s="718" t="s">
        <v>1488</v>
      </c>
      <c r="S42" s="718">
        <v>2019</v>
      </c>
    </row>
    <row r="43" spans="1:19" ht="56.25">
      <c r="A43" s="436">
        <v>35</v>
      </c>
      <c r="B43" s="436">
        <v>740213</v>
      </c>
      <c r="C43" s="496" t="s">
        <v>1236</v>
      </c>
      <c r="D43" s="496" t="s">
        <v>2620</v>
      </c>
      <c r="E43" s="456">
        <v>0.75</v>
      </c>
      <c r="F43" s="456">
        <v>0.75</v>
      </c>
      <c r="G43" s="456" t="s">
        <v>1280</v>
      </c>
      <c r="H43" s="456" t="s">
        <v>2659</v>
      </c>
      <c r="I43" s="475">
        <v>0.75</v>
      </c>
      <c r="J43" s="497">
        <f t="shared" si="0"/>
        <v>1</v>
      </c>
      <c r="K43" s="498">
        <v>43361</v>
      </c>
      <c r="L43" s="475"/>
      <c r="M43" s="499" t="str">
        <f t="shared" si="1"/>
        <v/>
      </c>
      <c r="N43" s="475">
        <v>0.75</v>
      </c>
      <c r="O43" s="499">
        <f t="shared" si="2"/>
        <v>1</v>
      </c>
      <c r="P43" s="475">
        <v>0.75</v>
      </c>
      <c r="Q43" s="497">
        <f t="shared" si="3"/>
        <v>1</v>
      </c>
      <c r="R43" s="718" t="s">
        <v>1488</v>
      </c>
      <c r="S43" s="718">
        <v>2019</v>
      </c>
    </row>
    <row r="44" spans="1:19" ht="56.25">
      <c r="A44" s="436">
        <v>36</v>
      </c>
      <c r="B44" s="436">
        <v>739590</v>
      </c>
      <c r="C44" s="500" t="s">
        <v>1238</v>
      </c>
      <c r="D44" s="496" t="s">
        <v>2620</v>
      </c>
      <c r="E44" s="456">
        <v>0.7</v>
      </c>
      <c r="F44" s="456">
        <v>0.7</v>
      </c>
      <c r="G44" s="456" t="s">
        <v>2643</v>
      </c>
      <c r="H44" s="456" t="s">
        <v>2660</v>
      </c>
      <c r="I44" s="475">
        <v>0.7</v>
      </c>
      <c r="J44" s="497">
        <f t="shared" si="0"/>
        <v>1</v>
      </c>
      <c r="K44" s="498">
        <v>43361</v>
      </c>
      <c r="L44" s="475"/>
      <c r="M44" s="499" t="str">
        <f t="shared" si="1"/>
        <v/>
      </c>
      <c r="N44" s="475">
        <v>0.7</v>
      </c>
      <c r="O44" s="499">
        <f t="shared" si="2"/>
        <v>1</v>
      </c>
      <c r="P44" s="475">
        <v>0.7</v>
      </c>
      <c r="Q44" s="497">
        <f t="shared" si="3"/>
        <v>1</v>
      </c>
      <c r="R44" s="718" t="s">
        <v>1488</v>
      </c>
      <c r="S44" s="718">
        <v>2019</v>
      </c>
    </row>
    <row r="45" spans="1:19" ht="56.25">
      <c r="A45" s="436">
        <v>37</v>
      </c>
      <c r="B45" s="432">
        <v>735045</v>
      </c>
      <c r="C45" s="500" t="s">
        <v>1240</v>
      </c>
      <c r="D45" s="496" t="s">
        <v>2620</v>
      </c>
      <c r="E45" s="456">
        <v>0.95</v>
      </c>
      <c r="F45" s="456">
        <v>0.95</v>
      </c>
      <c r="G45" s="456" t="s">
        <v>1280</v>
      </c>
      <c r="H45" s="456" t="s">
        <v>2641</v>
      </c>
      <c r="I45" s="475">
        <v>0.95</v>
      </c>
      <c r="J45" s="497">
        <f t="shared" si="0"/>
        <v>1</v>
      </c>
      <c r="K45" s="498">
        <v>43361</v>
      </c>
      <c r="L45" s="475"/>
      <c r="M45" s="499" t="str">
        <f t="shared" si="1"/>
        <v/>
      </c>
      <c r="N45" s="475">
        <v>0.95</v>
      </c>
      <c r="O45" s="499">
        <f t="shared" si="2"/>
        <v>1</v>
      </c>
      <c r="P45" s="475">
        <v>0.95</v>
      </c>
      <c r="Q45" s="497">
        <f t="shared" si="3"/>
        <v>1</v>
      </c>
      <c r="R45" s="718" t="s">
        <v>1488</v>
      </c>
      <c r="S45" s="718">
        <v>2019</v>
      </c>
    </row>
    <row r="46" spans="1:19" ht="56.25">
      <c r="A46" s="436">
        <v>38</v>
      </c>
      <c r="B46" s="436">
        <v>742439</v>
      </c>
      <c r="C46" s="500" t="s">
        <v>1242</v>
      </c>
      <c r="D46" s="496" t="s">
        <v>2620</v>
      </c>
      <c r="E46" s="456">
        <v>1.85</v>
      </c>
      <c r="F46" s="456">
        <v>1.85</v>
      </c>
      <c r="G46" s="456" t="s">
        <v>1280</v>
      </c>
      <c r="H46" s="456" t="s">
        <v>2629</v>
      </c>
      <c r="I46" s="475">
        <v>1.85</v>
      </c>
      <c r="J46" s="497">
        <f t="shared" si="0"/>
        <v>1</v>
      </c>
      <c r="K46" s="498">
        <v>43361</v>
      </c>
      <c r="L46" s="475"/>
      <c r="M46" s="499" t="str">
        <f t="shared" si="1"/>
        <v/>
      </c>
      <c r="N46" s="475">
        <v>1.85</v>
      </c>
      <c r="O46" s="499">
        <f t="shared" si="2"/>
        <v>1</v>
      </c>
      <c r="P46" s="475">
        <v>1.85</v>
      </c>
      <c r="Q46" s="497">
        <f t="shared" si="3"/>
        <v>1</v>
      </c>
      <c r="R46" s="718" t="s">
        <v>1488</v>
      </c>
      <c r="S46" s="718">
        <v>2019</v>
      </c>
    </row>
    <row r="47" spans="1:19" ht="56.25">
      <c r="A47" s="436">
        <v>39</v>
      </c>
      <c r="B47" s="436">
        <v>742086</v>
      </c>
      <c r="C47" s="500" t="s">
        <v>1244</v>
      </c>
      <c r="D47" s="496" t="s">
        <v>2620</v>
      </c>
      <c r="E47" s="456">
        <v>1.73</v>
      </c>
      <c r="F47" s="456">
        <v>1.73</v>
      </c>
      <c r="G47" s="456" t="s">
        <v>2645</v>
      </c>
      <c r="H47" s="456" t="s">
        <v>2661</v>
      </c>
      <c r="I47" s="475">
        <v>1.73</v>
      </c>
      <c r="J47" s="497">
        <f t="shared" si="0"/>
        <v>1</v>
      </c>
      <c r="K47" s="498">
        <v>43361</v>
      </c>
      <c r="L47" s="475"/>
      <c r="M47" s="499" t="str">
        <f t="shared" si="1"/>
        <v/>
      </c>
      <c r="N47" s="475">
        <v>1.73</v>
      </c>
      <c r="O47" s="499">
        <f t="shared" si="2"/>
        <v>1</v>
      </c>
      <c r="P47" s="475">
        <v>1.73</v>
      </c>
      <c r="Q47" s="497">
        <f t="shared" si="3"/>
        <v>1</v>
      </c>
      <c r="R47" s="718" t="s">
        <v>1488</v>
      </c>
      <c r="S47" s="718">
        <v>2019</v>
      </c>
    </row>
    <row r="48" spans="1:19" ht="56.25">
      <c r="A48" s="436">
        <v>40</v>
      </c>
      <c r="B48" s="436">
        <v>741624</v>
      </c>
      <c r="C48" s="500" t="s">
        <v>1246</v>
      </c>
      <c r="D48" s="496" t="s">
        <v>2620</v>
      </c>
      <c r="E48" s="456">
        <v>0.78100000000000003</v>
      </c>
      <c r="F48" s="456">
        <v>0.78100000000000003</v>
      </c>
      <c r="G48" s="456" t="s">
        <v>1280</v>
      </c>
      <c r="H48" s="456" t="s">
        <v>2659</v>
      </c>
      <c r="I48" s="475">
        <v>0.78100000000000003</v>
      </c>
      <c r="J48" s="497">
        <f t="shared" si="0"/>
        <v>1</v>
      </c>
      <c r="K48" s="498">
        <v>43361</v>
      </c>
      <c r="L48" s="475"/>
      <c r="M48" s="499" t="str">
        <f t="shared" si="1"/>
        <v/>
      </c>
      <c r="N48" s="475">
        <v>0.78100000000000003</v>
      </c>
      <c r="O48" s="499">
        <f t="shared" si="2"/>
        <v>1</v>
      </c>
      <c r="P48" s="475">
        <v>0.78100000000000003</v>
      </c>
      <c r="Q48" s="497">
        <f t="shared" si="3"/>
        <v>1</v>
      </c>
      <c r="R48" s="718" t="s">
        <v>1488</v>
      </c>
      <c r="S48" s="718">
        <v>2019</v>
      </c>
    </row>
    <row r="49" spans="1:19" ht="56.25">
      <c r="A49" s="436">
        <v>41</v>
      </c>
      <c r="B49" s="436">
        <v>742763</v>
      </c>
      <c r="C49" s="500" t="s">
        <v>1248</v>
      </c>
      <c r="D49" s="496" t="s">
        <v>2620</v>
      </c>
      <c r="E49" s="456">
        <v>3.3</v>
      </c>
      <c r="F49" s="456">
        <v>3.3</v>
      </c>
      <c r="G49" s="456" t="s">
        <v>1280</v>
      </c>
      <c r="H49" s="456" t="s">
        <v>2662</v>
      </c>
      <c r="I49" s="475">
        <v>3.3</v>
      </c>
      <c r="J49" s="497">
        <f t="shared" si="0"/>
        <v>1</v>
      </c>
      <c r="K49" s="498">
        <v>43361</v>
      </c>
      <c r="L49" s="475"/>
      <c r="M49" s="499" t="str">
        <f t="shared" si="1"/>
        <v/>
      </c>
      <c r="N49" s="475">
        <v>3.3</v>
      </c>
      <c r="O49" s="499">
        <f t="shared" si="2"/>
        <v>1</v>
      </c>
      <c r="P49" s="475">
        <v>3.3</v>
      </c>
      <c r="Q49" s="497">
        <f t="shared" si="3"/>
        <v>1</v>
      </c>
      <c r="R49" s="718" t="s">
        <v>1488</v>
      </c>
      <c r="S49" s="718">
        <v>2019</v>
      </c>
    </row>
    <row r="50" spans="1:19" ht="56.25">
      <c r="A50" s="436">
        <v>42</v>
      </c>
      <c r="B50" s="436">
        <v>742420</v>
      </c>
      <c r="C50" s="500" t="s">
        <v>1251</v>
      </c>
      <c r="D50" s="496" t="s">
        <v>2620</v>
      </c>
      <c r="E50" s="456">
        <v>0.7</v>
      </c>
      <c r="F50" s="456">
        <v>0.7</v>
      </c>
      <c r="G50" s="456" t="s">
        <v>1280</v>
      </c>
      <c r="H50" s="456" t="s">
        <v>2663</v>
      </c>
      <c r="I50" s="475">
        <v>0.7</v>
      </c>
      <c r="J50" s="497">
        <f t="shared" si="0"/>
        <v>1</v>
      </c>
      <c r="K50" s="498">
        <v>43361</v>
      </c>
      <c r="L50" s="475"/>
      <c r="M50" s="499" t="str">
        <f t="shared" si="1"/>
        <v/>
      </c>
      <c r="N50" s="475">
        <v>0.7</v>
      </c>
      <c r="O50" s="499">
        <f t="shared" si="2"/>
        <v>1</v>
      </c>
      <c r="P50" s="475">
        <v>0.7</v>
      </c>
      <c r="Q50" s="497">
        <f t="shared" si="3"/>
        <v>1</v>
      </c>
      <c r="R50" s="718" t="s">
        <v>1488</v>
      </c>
      <c r="S50" s="718">
        <v>2019</v>
      </c>
    </row>
    <row r="51" spans="1:19" ht="56.25">
      <c r="A51" s="436">
        <v>43</v>
      </c>
      <c r="B51" s="436">
        <v>741622</v>
      </c>
      <c r="C51" s="500" t="s">
        <v>1253</v>
      </c>
      <c r="D51" s="496" t="s">
        <v>2620</v>
      </c>
      <c r="E51" s="456">
        <v>4.8319999999999999</v>
      </c>
      <c r="F51" s="456">
        <v>4.8319999999999999</v>
      </c>
      <c r="G51" s="456" t="s">
        <v>1280</v>
      </c>
      <c r="H51" s="456" t="s">
        <v>2664</v>
      </c>
      <c r="I51" s="475">
        <v>4.8319999999999999</v>
      </c>
      <c r="J51" s="497">
        <f t="shared" si="0"/>
        <v>1</v>
      </c>
      <c r="K51" s="498">
        <v>43361</v>
      </c>
      <c r="L51" s="475"/>
      <c r="M51" s="499" t="str">
        <f t="shared" si="1"/>
        <v/>
      </c>
      <c r="N51" s="475">
        <v>4.8319999999999999</v>
      </c>
      <c r="O51" s="499">
        <f t="shared" si="2"/>
        <v>1</v>
      </c>
      <c r="P51" s="475">
        <v>4.8319999999999999</v>
      </c>
      <c r="Q51" s="497">
        <f t="shared" si="3"/>
        <v>1</v>
      </c>
      <c r="R51" s="718" t="s">
        <v>1488</v>
      </c>
      <c r="S51" s="718">
        <v>2019</v>
      </c>
    </row>
    <row r="52" spans="1:19" ht="56.25">
      <c r="A52" s="436">
        <v>44</v>
      </c>
      <c r="B52" s="436">
        <v>740063</v>
      </c>
      <c r="C52" s="500" t="s">
        <v>1255</v>
      </c>
      <c r="D52" s="496" t="s">
        <v>2620</v>
      </c>
      <c r="E52" s="456">
        <v>1.0680000000000001</v>
      </c>
      <c r="F52" s="456">
        <v>1.0680000000000001</v>
      </c>
      <c r="G52" s="456" t="s">
        <v>2665</v>
      </c>
      <c r="H52" s="456" t="s">
        <v>2666</v>
      </c>
      <c r="I52" s="456">
        <v>1.0680000000000001</v>
      </c>
      <c r="J52" s="497">
        <f t="shared" si="0"/>
        <v>1</v>
      </c>
      <c r="K52" s="498">
        <v>43361</v>
      </c>
      <c r="L52" s="456"/>
      <c r="M52" s="499" t="str">
        <f t="shared" si="1"/>
        <v/>
      </c>
      <c r="N52" s="475">
        <v>1.0680000000000001</v>
      </c>
      <c r="O52" s="499">
        <f t="shared" si="2"/>
        <v>1</v>
      </c>
      <c r="P52" s="475">
        <v>1.0680000000000001</v>
      </c>
      <c r="Q52" s="497">
        <f t="shared" si="3"/>
        <v>1</v>
      </c>
      <c r="R52" s="718" t="s">
        <v>1488</v>
      </c>
      <c r="S52" s="718">
        <v>2019</v>
      </c>
    </row>
    <row r="53" spans="1:19" ht="56.25">
      <c r="A53" s="436">
        <v>45</v>
      </c>
      <c r="B53" s="436">
        <v>742138</v>
      </c>
      <c r="C53" s="500" t="s">
        <v>1256</v>
      </c>
      <c r="D53" s="496" t="s">
        <v>2620</v>
      </c>
      <c r="E53" s="456">
        <v>4.4000000000000004</v>
      </c>
      <c r="F53" s="456">
        <v>4.4000000000000004</v>
      </c>
      <c r="G53" s="456" t="s">
        <v>1280</v>
      </c>
      <c r="H53" s="456" t="s">
        <v>2667</v>
      </c>
      <c r="I53" s="475">
        <v>0</v>
      </c>
      <c r="J53" s="497">
        <f t="shared" si="0"/>
        <v>0</v>
      </c>
      <c r="K53" s="498">
        <v>43361</v>
      </c>
      <c r="L53" s="475"/>
      <c r="M53" s="499" t="str">
        <f t="shared" si="1"/>
        <v/>
      </c>
      <c r="N53" s="475">
        <v>2.9</v>
      </c>
      <c r="O53" s="499">
        <f t="shared" si="2"/>
        <v>0.65909090909090906</v>
      </c>
      <c r="P53" s="475">
        <v>4.4000000000000004</v>
      </c>
      <c r="Q53" s="497">
        <f t="shared" si="3"/>
        <v>1</v>
      </c>
      <c r="R53" s="718" t="s">
        <v>1488</v>
      </c>
      <c r="S53" s="718">
        <v>2019</v>
      </c>
    </row>
    <row r="54" spans="1:19" ht="56.25">
      <c r="A54" s="436">
        <v>46</v>
      </c>
      <c r="B54" s="436">
        <v>744731</v>
      </c>
      <c r="C54" s="500" t="s">
        <v>1257</v>
      </c>
      <c r="D54" s="496" t="s">
        <v>2620</v>
      </c>
      <c r="E54" s="456">
        <v>0.93500000000000005</v>
      </c>
      <c r="F54" s="456">
        <v>0.93500000000000005</v>
      </c>
      <c r="G54" s="456" t="s">
        <v>1280</v>
      </c>
      <c r="H54" s="456" t="s">
        <v>2635</v>
      </c>
      <c r="I54" s="475">
        <v>0</v>
      </c>
      <c r="J54" s="497">
        <f t="shared" si="0"/>
        <v>0</v>
      </c>
      <c r="K54" s="498">
        <v>43361</v>
      </c>
      <c r="L54" s="475"/>
      <c r="M54" s="499" t="str">
        <f t="shared" si="1"/>
        <v/>
      </c>
      <c r="N54" s="475">
        <v>0.93500000000000005</v>
      </c>
      <c r="O54" s="499">
        <f t="shared" si="2"/>
        <v>1</v>
      </c>
      <c r="P54" s="475">
        <v>0.93500000000000005</v>
      </c>
      <c r="Q54" s="497">
        <f t="shared" si="3"/>
        <v>1</v>
      </c>
      <c r="R54" s="718" t="s">
        <v>1488</v>
      </c>
      <c r="S54" s="718">
        <v>2019</v>
      </c>
    </row>
    <row r="55" spans="1:19" ht="56.25">
      <c r="A55" s="436">
        <v>47</v>
      </c>
      <c r="B55" s="436">
        <v>738896</v>
      </c>
      <c r="C55" s="500" t="s">
        <v>1258</v>
      </c>
      <c r="D55" s="496" t="s">
        <v>2620</v>
      </c>
      <c r="E55" s="456">
        <v>0.94299999999999995</v>
      </c>
      <c r="F55" s="456">
        <v>0.94299999999999995</v>
      </c>
      <c r="G55" s="456" t="s">
        <v>1280</v>
      </c>
      <c r="H55" s="456" t="s">
        <v>2635</v>
      </c>
      <c r="I55" s="475">
        <v>0</v>
      </c>
      <c r="J55" s="497">
        <f t="shared" si="0"/>
        <v>0</v>
      </c>
      <c r="K55" s="498">
        <v>43361</v>
      </c>
      <c r="L55" s="475"/>
      <c r="M55" s="499" t="str">
        <f t="shared" si="1"/>
        <v/>
      </c>
      <c r="N55" s="475">
        <v>0.44</v>
      </c>
      <c r="O55" s="499">
        <f t="shared" si="2"/>
        <v>0.4665959703075292</v>
      </c>
      <c r="P55" s="475">
        <v>0.94299999999999995</v>
      </c>
      <c r="Q55" s="497">
        <f t="shared" si="3"/>
        <v>1</v>
      </c>
      <c r="R55" s="718" t="s">
        <v>1488</v>
      </c>
      <c r="S55" s="718">
        <v>2019</v>
      </c>
    </row>
    <row r="56" spans="1:19" ht="56.25">
      <c r="A56" s="436">
        <v>48</v>
      </c>
      <c r="B56" s="436">
        <v>737845</v>
      </c>
      <c r="C56" s="500" t="s">
        <v>1213</v>
      </c>
      <c r="D56" s="496" t="s">
        <v>2620</v>
      </c>
      <c r="E56" s="456">
        <v>1.7789999999999999</v>
      </c>
      <c r="F56" s="456">
        <v>1.7789999999999999</v>
      </c>
      <c r="G56" s="456" t="s">
        <v>1280</v>
      </c>
      <c r="H56" s="456" t="s">
        <v>2668</v>
      </c>
      <c r="I56" s="475">
        <v>0</v>
      </c>
      <c r="J56" s="497">
        <f t="shared" si="0"/>
        <v>0</v>
      </c>
      <c r="K56" s="498">
        <v>43361</v>
      </c>
      <c r="L56" s="475"/>
      <c r="M56" s="499" t="str">
        <f t="shared" si="1"/>
        <v/>
      </c>
      <c r="N56" s="475">
        <v>0</v>
      </c>
      <c r="O56" s="499">
        <f t="shared" si="2"/>
        <v>0</v>
      </c>
      <c r="P56" s="475">
        <v>1.7789999999999999</v>
      </c>
      <c r="Q56" s="497">
        <f t="shared" si="3"/>
        <v>1</v>
      </c>
      <c r="R56" s="718" t="s">
        <v>1488</v>
      </c>
      <c r="S56" s="718">
        <v>2019</v>
      </c>
    </row>
    <row r="57" spans="1:19" ht="56.25">
      <c r="A57" s="436">
        <v>49</v>
      </c>
      <c r="B57" s="436">
        <v>736125</v>
      </c>
      <c r="C57" s="500" t="s">
        <v>1259</v>
      </c>
      <c r="D57" s="496" t="s">
        <v>2620</v>
      </c>
      <c r="E57" s="456">
        <v>1.59</v>
      </c>
      <c r="F57" s="456">
        <v>1.59</v>
      </c>
      <c r="G57" s="456" t="s">
        <v>1280</v>
      </c>
      <c r="H57" s="456" t="s">
        <v>2623</v>
      </c>
      <c r="I57" s="475">
        <v>0</v>
      </c>
      <c r="J57" s="497">
        <f t="shared" si="0"/>
        <v>0</v>
      </c>
      <c r="K57" s="498">
        <v>43361</v>
      </c>
      <c r="L57" s="475"/>
      <c r="M57" s="499" t="str">
        <f t="shared" si="1"/>
        <v/>
      </c>
      <c r="N57" s="475">
        <v>1.59</v>
      </c>
      <c r="O57" s="499">
        <f t="shared" si="2"/>
        <v>1</v>
      </c>
      <c r="P57" s="475">
        <v>1.59</v>
      </c>
      <c r="Q57" s="497">
        <f t="shared" si="3"/>
        <v>1</v>
      </c>
      <c r="R57" s="718" t="s">
        <v>1488</v>
      </c>
      <c r="S57" s="718">
        <v>2019</v>
      </c>
    </row>
    <row r="58" spans="1:19" ht="56.25">
      <c r="A58" s="436">
        <v>50</v>
      </c>
      <c r="B58" s="436">
        <v>742800</v>
      </c>
      <c r="C58" s="500" t="s">
        <v>1260</v>
      </c>
      <c r="D58" s="496" t="s">
        <v>2620</v>
      </c>
      <c r="E58" s="456">
        <v>1.7</v>
      </c>
      <c r="F58" s="456">
        <v>1.7</v>
      </c>
      <c r="G58" s="456" t="s">
        <v>1280</v>
      </c>
      <c r="H58" s="456" t="s">
        <v>2669</v>
      </c>
      <c r="I58" s="475">
        <v>0</v>
      </c>
      <c r="J58" s="497">
        <f t="shared" si="0"/>
        <v>0</v>
      </c>
      <c r="K58" s="498">
        <v>43361</v>
      </c>
      <c r="L58" s="475"/>
      <c r="M58" s="499" t="str">
        <f t="shared" si="1"/>
        <v/>
      </c>
      <c r="N58" s="475">
        <v>1.7</v>
      </c>
      <c r="O58" s="499">
        <f t="shared" si="2"/>
        <v>1</v>
      </c>
      <c r="P58" s="475">
        <v>1.7</v>
      </c>
      <c r="Q58" s="497">
        <f t="shared" si="3"/>
        <v>1</v>
      </c>
      <c r="R58" s="718" t="s">
        <v>1488</v>
      </c>
      <c r="S58" s="718">
        <v>2019</v>
      </c>
    </row>
    <row r="59" spans="1:19" ht="56.25">
      <c r="A59" s="436">
        <v>51</v>
      </c>
      <c r="B59" s="436">
        <v>744839</v>
      </c>
      <c r="C59" s="500" t="s">
        <v>2547</v>
      </c>
      <c r="D59" s="496" t="s">
        <v>2620</v>
      </c>
      <c r="E59" s="456">
        <v>1.5</v>
      </c>
      <c r="F59" s="456">
        <v>1.5</v>
      </c>
      <c r="G59" s="456" t="s">
        <v>1280</v>
      </c>
      <c r="H59" s="456" t="s">
        <v>2642</v>
      </c>
      <c r="I59" s="475">
        <v>0</v>
      </c>
      <c r="J59" s="497">
        <f t="shared" si="0"/>
        <v>0</v>
      </c>
      <c r="K59" s="498">
        <v>43361</v>
      </c>
      <c r="L59" s="475"/>
      <c r="M59" s="499" t="str">
        <f t="shared" si="1"/>
        <v/>
      </c>
      <c r="N59" s="475">
        <v>1.5</v>
      </c>
      <c r="O59" s="499">
        <f t="shared" si="2"/>
        <v>1</v>
      </c>
      <c r="P59" s="475">
        <v>1.5</v>
      </c>
      <c r="Q59" s="497">
        <f t="shared" si="3"/>
        <v>1</v>
      </c>
      <c r="R59" s="718" t="s">
        <v>1488</v>
      </c>
      <c r="S59" s="718">
        <v>2019</v>
      </c>
    </row>
    <row r="60" spans="1:19" ht="56.25">
      <c r="A60" s="436">
        <v>52</v>
      </c>
      <c r="B60" s="436">
        <v>739731</v>
      </c>
      <c r="C60" s="500" t="s">
        <v>1262</v>
      </c>
      <c r="D60" s="496" t="s">
        <v>2620</v>
      </c>
      <c r="E60" s="456">
        <v>1.8620000000000001</v>
      </c>
      <c r="F60" s="456">
        <v>1.8620000000000001</v>
      </c>
      <c r="G60" s="456" t="s">
        <v>2670</v>
      </c>
      <c r="H60" s="456" t="s">
        <v>2671</v>
      </c>
      <c r="I60" s="475">
        <v>0</v>
      </c>
      <c r="J60" s="497">
        <f t="shared" si="0"/>
        <v>0</v>
      </c>
      <c r="K60" s="498">
        <v>43361</v>
      </c>
      <c r="L60" s="475"/>
      <c r="M60" s="499" t="str">
        <f t="shared" si="1"/>
        <v/>
      </c>
      <c r="N60" s="475">
        <v>1.6120000000000001</v>
      </c>
      <c r="O60" s="499">
        <f t="shared" si="2"/>
        <v>0.86573576799140706</v>
      </c>
      <c r="P60" s="475">
        <v>1.8620000000000001</v>
      </c>
      <c r="Q60" s="497">
        <f t="shared" si="3"/>
        <v>1</v>
      </c>
      <c r="R60" s="718" t="s">
        <v>1488</v>
      </c>
      <c r="S60" s="718">
        <v>2019</v>
      </c>
    </row>
    <row r="61" spans="1:19" ht="56.25">
      <c r="A61" s="436">
        <v>53</v>
      </c>
      <c r="B61" s="436">
        <v>734724</v>
      </c>
      <c r="C61" s="500" t="s">
        <v>1263</v>
      </c>
      <c r="D61" s="496" t="s">
        <v>2620</v>
      </c>
      <c r="E61" s="456">
        <v>0.42399999999999999</v>
      </c>
      <c r="F61" s="456">
        <v>0.42399999999999999</v>
      </c>
      <c r="G61" s="456" t="s">
        <v>1280</v>
      </c>
      <c r="H61" s="456" t="s">
        <v>2640</v>
      </c>
      <c r="I61" s="475">
        <v>0</v>
      </c>
      <c r="J61" s="497">
        <f t="shared" si="0"/>
        <v>0</v>
      </c>
      <c r="K61" s="498">
        <v>43361</v>
      </c>
      <c r="L61" s="475"/>
      <c r="M61" s="499" t="str">
        <f t="shared" si="1"/>
        <v/>
      </c>
      <c r="N61" s="475">
        <v>0</v>
      </c>
      <c r="O61" s="499">
        <f t="shared" si="2"/>
        <v>0</v>
      </c>
      <c r="P61" s="475">
        <v>0.42399999999999999</v>
      </c>
      <c r="Q61" s="497">
        <f t="shared" si="3"/>
        <v>1</v>
      </c>
      <c r="R61" s="718" t="s">
        <v>1488</v>
      </c>
      <c r="S61" s="718">
        <v>2019</v>
      </c>
    </row>
    <row r="62" spans="1:19" ht="56.25">
      <c r="A62" s="436">
        <v>54</v>
      </c>
      <c r="B62" s="436">
        <v>749750</v>
      </c>
      <c r="C62" s="500" t="s">
        <v>1264</v>
      </c>
      <c r="D62" s="496" t="s">
        <v>2620</v>
      </c>
      <c r="E62" s="456">
        <v>0.97199999999999998</v>
      </c>
      <c r="F62" s="456">
        <v>0.97199999999999998</v>
      </c>
      <c r="G62" s="456" t="s">
        <v>2672</v>
      </c>
      <c r="H62" s="456" t="s">
        <v>2673</v>
      </c>
      <c r="I62" s="475">
        <v>0</v>
      </c>
      <c r="J62" s="497">
        <f t="shared" si="0"/>
        <v>0</v>
      </c>
      <c r="K62" s="498">
        <v>43361</v>
      </c>
      <c r="L62" s="475"/>
      <c r="M62" s="499" t="str">
        <f t="shared" si="1"/>
        <v/>
      </c>
      <c r="N62" s="475">
        <v>0.77200000000000002</v>
      </c>
      <c r="O62" s="499">
        <f t="shared" si="2"/>
        <v>0.79423868312757206</v>
      </c>
      <c r="P62" s="475">
        <v>0.97199999999999998</v>
      </c>
      <c r="Q62" s="497">
        <f t="shared" si="3"/>
        <v>1</v>
      </c>
      <c r="R62" s="718" t="s">
        <v>1488</v>
      </c>
      <c r="S62" s="718">
        <v>2019</v>
      </c>
    </row>
    <row r="63" spans="1:19" ht="56.25">
      <c r="A63" s="436">
        <v>55</v>
      </c>
      <c r="B63" s="436">
        <v>742553</v>
      </c>
      <c r="C63" s="500" t="s">
        <v>1265</v>
      </c>
      <c r="D63" s="496" t="s">
        <v>2620</v>
      </c>
      <c r="E63" s="456">
        <v>0.5</v>
      </c>
      <c r="F63" s="456">
        <v>0.5</v>
      </c>
      <c r="G63" s="456" t="s">
        <v>2674</v>
      </c>
      <c r="H63" s="456" t="s">
        <v>2675</v>
      </c>
      <c r="I63" s="475">
        <v>0</v>
      </c>
      <c r="J63" s="497">
        <f t="shared" si="0"/>
        <v>0</v>
      </c>
      <c r="K63" s="498">
        <v>43361</v>
      </c>
      <c r="L63" s="475"/>
      <c r="M63" s="499" t="str">
        <f t="shared" si="1"/>
        <v/>
      </c>
      <c r="N63" s="475">
        <v>0</v>
      </c>
      <c r="O63" s="499">
        <f t="shared" si="2"/>
        <v>0</v>
      </c>
      <c r="P63" s="475">
        <v>0.5</v>
      </c>
      <c r="Q63" s="497">
        <f t="shared" si="3"/>
        <v>1</v>
      </c>
      <c r="R63" s="718" t="s">
        <v>1488</v>
      </c>
      <c r="S63" s="718">
        <v>2019</v>
      </c>
    </row>
    <row r="64" spans="1:19" ht="56.25">
      <c r="A64" s="436">
        <v>56</v>
      </c>
      <c r="B64" s="436">
        <v>740146</v>
      </c>
      <c r="C64" s="500" t="s">
        <v>1266</v>
      </c>
      <c r="D64" s="496" t="s">
        <v>2620</v>
      </c>
      <c r="E64" s="456">
        <v>0.58399999999999996</v>
      </c>
      <c r="F64" s="456">
        <v>0.58399999999999996</v>
      </c>
      <c r="G64" s="456" t="s">
        <v>2645</v>
      </c>
      <c r="H64" s="456" t="s">
        <v>2676</v>
      </c>
      <c r="I64" s="475">
        <v>0</v>
      </c>
      <c r="J64" s="497">
        <f t="shared" si="0"/>
        <v>0</v>
      </c>
      <c r="K64" s="498">
        <v>43361</v>
      </c>
      <c r="L64" s="475"/>
      <c r="M64" s="499" t="str">
        <f t="shared" si="1"/>
        <v/>
      </c>
      <c r="N64" s="475">
        <v>0</v>
      </c>
      <c r="O64" s="499">
        <f t="shared" si="2"/>
        <v>0</v>
      </c>
      <c r="P64" s="475">
        <v>0.58399999999999996</v>
      </c>
      <c r="Q64" s="497">
        <f t="shared" si="3"/>
        <v>1</v>
      </c>
      <c r="R64" s="718" t="s">
        <v>1488</v>
      </c>
      <c r="S64" s="718">
        <v>2019</v>
      </c>
    </row>
    <row r="65" spans="1:19" ht="56.25">
      <c r="A65" s="436">
        <v>57</v>
      </c>
      <c r="B65" s="436">
        <v>735132</v>
      </c>
      <c r="C65" s="500" t="s">
        <v>1267</v>
      </c>
      <c r="D65" s="496" t="s">
        <v>2620</v>
      </c>
      <c r="E65" s="456">
        <v>1.27</v>
      </c>
      <c r="F65" s="456">
        <v>1.27</v>
      </c>
      <c r="G65" s="456" t="s">
        <v>1280</v>
      </c>
      <c r="H65" s="456" t="s">
        <v>2677</v>
      </c>
      <c r="I65" s="475">
        <v>0</v>
      </c>
      <c r="J65" s="497">
        <f t="shared" si="0"/>
        <v>0</v>
      </c>
      <c r="K65" s="498">
        <v>43361</v>
      </c>
      <c r="L65" s="475"/>
      <c r="M65" s="499" t="str">
        <f t="shared" si="1"/>
        <v/>
      </c>
      <c r="N65" s="475">
        <v>0</v>
      </c>
      <c r="O65" s="499">
        <f t="shared" si="2"/>
        <v>0</v>
      </c>
      <c r="P65" s="475">
        <v>1.27</v>
      </c>
      <c r="Q65" s="497">
        <f t="shared" si="3"/>
        <v>1</v>
      </c>
      <c r="R65" s="718" t="s">
        <v>1488</v>
      </c>
      <c r="S65" s="718">
        <v>2019</v>
      </c>
    </row>
    <row r="66" spans="1:19" ht="56.25">
      <c r="A66" s="436">
        <v>58</v>
      </c>
      <c r="B66" s="436">
        <v>742104</v>
      </c>
      <c r="C66" s="500" t="s">
        <v>1268</v>
      </c>
      <c r="D66" s="496" t="s">
        <v>2620</v>
      </c>
      <c r="E66" s="456">
        <v>2.105</v>
      </c>
      <c r="F66" s="456">
        <v>2.105</v>
      </c>
      <c r="G66" s="456" t="s">
        <v>1280</v>
      </c>
      <c r="H66" s="456" t="s">
        <v>2631</v>
      </c>
      <c r="I66" s="475">
        <v>0</v>
      </c>
      <c r="J66" s="497">
        <f t="shared" si="0"/>
        <v>0</v>
      </c>
      <c r="K66" s="498">
        <v>43361</v>
      </c>
      <c r="L66" s="475"/>
      <c r="M66" s="499" t="str">
        <f t="shared" si="1"/>
        <v/>
      </c>
      <c r="N66" s="475">
        <v>2.105</v>
      </c>
      <c r="O66" s="499">
        <f t="shared" si="2"/>
        <v>1</v>
      </c>
      <c r="P66" s="475">
        <v>2.105</v>
      </c>
      <c r="Q66" s="497">
        <f t="shared" si="3"/>
        <v>1</v>
      </c>
      <c r="R66" s="718" t="s">
        <v>1488</v>
      </c>
      <c r="S66" s="718">
        <v>2019</v>
      </c>
    </row>
    <row r="67" spans="1:19" ht="56.25">
      <c r="A67" s="436">
        <v>59</v>
      </c>
      <c r="B67" s="436"/>
      <c r="C67" s="500" t="s">
        <v>1269</v>
      </c>
      <c r="D67" s="496" t="s">
        <v>2620</v>
      </c>
      <c r="E67" s="456">
        <v>2.2000000000000002</v>
      </c>
      <c r="F67" s="456">
        <v>2.2000000000000002</v>
      </c>
      <c r="G67" s="456" t="s">
        <v>1280</v>
      </c>
      <c r="H67" s="456" t="s">
        <v>2678</v>
      </c>
      <c r="I67" s="475">
        <v>0</v>
      </c>
      <c r="J67" s="497">
        <f t="shared" si="0"/>
        <v>0</v>
      </c>
      <c r="K67" s="498">
        <v>43361</v>
      </c>
      <c r="L67" s="475"/>
      <c r="M67" s="499" t="str">
        <f t="shared" si="1"/>
        <v/>
      </c>
      <c r="N67" s="475">
        <v>0.7</v>
      </c>
      <c r="O67" s="499">
        <f t="shared" si="2"/>
        <v>0.31818181818181812</v>
      </c>
      <c r="P67" s="475">
        <v>2.2000000000000002</v>
      </c>
      <c r="Q67" s="497">
        <f t="shared" si="3"/>
        <v>1</v>
      </c>
      <c r="R67" s="718" t="s">
        <v>1488</v>
      </c>
      <c r="S67" s="718">
        <v>2019</v>
      </c>
    </row>
    <row r="68" spans="1:19" ht="18.75">
      <c r="A68" s="436"/>
      <c r="B68" s="436"/>
      <c r="C68" s="500"/>
      <c r="D68" s="500"/>
      <c r="E68" s="456"/>
      <c r="F68" s="456"/>
      <c r="G68" s="456"/>
      <c r="H68" s="456"/>
      <c r="I68" s="475"/>
      <c r="J68" s="497"/>
      <c r="K68" s="475"/>
      <c r="L68" s="475"/>
      <c r="M68" s="499"/>
      <c r="N68" s="475"/>
      <c r="O68" s="499"/>
      <c r="P68" s="475"/>
      <c r="Q68" s="497"/>
      <c r="R68" s="429"/>
      <c r="S68" s="429"/>
    </row>
    <row r="69" spans="1:19" ht="18.75">
      <c r="A69" s="1496" t="s">
        <v>1312</v>
      </c>
      <c r="B69" s="1496"/>
      <c r="C69" s="1496"/>
      <c r="D69" s="462"/>
      <c r="E69" s="459">
        <f>SUM(E9:E68)</f>
        <v>112.19000000000001</v>
      </c>
      <c r="F69" s="459">
        <f>SUM(F9:F68)</f>
        <v>112.19000000000001</v>
      </c>
      <c r="G69" s="459"/>
      <c r="H69" s="459"/>
      <c r="I69" s="459">
        <f>SUM(I9:I68)</f>
        <v>38.701000000000001</v>
      </c>
      <c r="J69" s="502">
        <f>I69/E69</f>
        <v>0.34495944380069521</v>
      </c>
      <c r="K69" s="459"/>
      <c r="L69" s="459">
        <f>SUM(L9:L68)</f>
        <v>0</v>
      </c>
      <c r="M69" s="502"/>
      <c r="N69" s="459">
        <f>SUM(N9:N68)</f>
        <v>64.848000000000013</v>
      </c>
      <c r="O69" s="502">
        <f>N69/E69</f>
        <v>0.57801943132186473</v>
      </c>
      <c r="P69" s="459">
        <f>SUM(P9:P68)</f>
        <v>105.798</v>
      </c>
      <c r="Q69" s="502">
        <f>P69/E69</f>
        <v>0.94302522506462239</v>
      </c>
      <c r="R69" s="459"/>
      <c r="S69" s="459"/>
    </row>
    <row r="70" spans="1:19">
      <c r="A70" s="269"/>
      <c r="B70" s="270"/>
      <c r="C70" s="270"/>
      <c r="D70" s="270"/>
      <c r="E70" s="503"/>
      <c r="F70" s="503"/>
      <c r="G70" s="271"/>
      <c r="H70" s="271"/>
      <c r="I70" s="503"/>
      <c r="J70" s="272"/>
      <c r="K70" s="270"/>
      <c r="L70" s="271"/>
      <c r="M70" s="272"/>
      <c r="N70" s="503"/>
      <c r="O70" s="273"/>
      <c r="P70" s="504"/>
      <c r="Q70" s="273"/>
      <c r="R70" s="270"/>
      <c r="S70" s="270"/>
    </row>
  </sheetData>
  <mergeCells count="16">
    <mergeCell ref="A8:S8"/>
    <mergeCell ref="A69:C69"/>
    <mergeCell ref="D2:D6"/>
    <mergeCell ref="G2:H5"/>
    <mergeCell ref="A1:S1"/>
    <mergeCell ref="A2:A6"/>
    <mergeCell ref="B2:B6"/>
    <mergeCell ref="C2:C6"/>
    <mergeCell ref="E2:F5"/>
    <mergeCell ref="I2:Q2"/>
    <mergeCell ref="R2:S5"/>
    <mergeCell ref="I3:M3"/>
    <mergeCell ref="N3:O5"/>
    <mergeCell ref="P3:Q5"/>
    <mergeCell ref="I4:K5"/>
    <mergeCell ref="L4:M5"/>
  </mergeCells>
  <pageMargins left="0.70866141732283472" right="0.70866141732283472" top="0.74803149606299213" bottom="0.74803149606299213" header="0.31496062992125984" footer="0.31496062992125984"/>
  <pageSetup paperSize="9" scale="50" orientation="landscape" r:id="rId1"/>
  <headerFooter>
    <oddHeader>&amp;C
&amp;P</oddHeader>
  </headerFooter>
</worksheet>
</file>

<file path=xl/worksheets/sheet9.xml><?xml version="1.0" encoding="utf-8"?>
<worksheet xmlns="http://schemas.openxmlformats.org/spreadsheetml/2006/main" xmlns:r="http://schemas.openxmlformats.org/officeDocument/2006/relationships">
  <dimension ref="A1:I362"/>
  <sheetViews>
    <sheetView view="pageBreakPreview" zoomScaleNormal="100" zoomScaleSheetLayoutView="100" zoomScalePageLayoutView="70" workbookViewId="0">
      <selection activeCell="J23" sqref="J23"/>
    </sheetView>
  </sheetViews>
  <sheetFormatPr defaultRowHeight="15"/>
  <cols>
    <col min="1" max="1" width="7.28515625" style="425" customWidth="1"/>
    <col min="2" max="2" width="9.7109375" customWidth="1"/>
    <col min="3" max="3" width="62" customWidth="1"/>
    <col min="4" max="4" width="19" customWidth="1"/>
    <col min="5" max="5" width="16.5703125" customWidth="1"/>
    <col min="6" max="6" width="12.85546875" customWidth="1"/>
    <col min="7" max="7" width="12.7109375" customWidth="1"/>
    <col min="8" max="8" width="17.85546875" style="444" customWidth="1"/>
    <col min="9" max="12" width="20.7109375" customWidth="1"/>
  </cols>
  <sheetData>
    <row r="1" spans="1:9" ht="54.75" customHeight="1">
      <c r="A1" s="1499" t="s">
        <v>2619</v>
      </c>
      <c r="B1" s="1499"/>
      <c r="C1" s="1499"/>
      <c r="D1" s="1499"/>
      <c r="E1" s="1499"/>
      <c r="F1" s="1499"/>
      <c r="G1" s="1499"/>
      <c r="H1" s="1499"/>
    </row>
    <row r="2" spans="1:9">
      <c r="A2" s="1500" t="s">
        <v>2548</v>
      </c>
      <c r="B2" s="1501" t="s">
        <v>2</v>
      </c>
      <c r="C2" s="1502" t="s">
        <v>477</v>
      </c>
      <c r="D2" s="1502" t="s">
        <v>478</v>
      </c>
      <c r="E2" s="1502" t="s">
        <v>2549</v>
      </c>
      <c r="F2" s="1503" t="s">
        <v>2550</v>
      </c>
      <c r="G2" s="1503"/>
      <c r="H2" s="1503"/>
    </row>
    <row r="3" spans="1:9">
      <c r="A3" s="1500"/>
      <c r="B3" s="1501"/>
      <c r="C3" s="1502"/>
      <c r="D3" s="1502"/>
      <c r="E3" s="1502"/>
      <c r="F3" s="1502" t="s">
        <v>11</v>
      </c>
      <c r="G3" s="1502"/>
      <c r="H3" s="1504" t="s">
        <v>2551</v>
      </c>
    </row>
    <row r="4" spans="1:9" ht="27.75" customHeight="1">
      <c r="A4" s="1500"/>
      <c r="B4" s="1501"/>
      <c r="C4" s="1502"/>
      <c r="D4" s="1502"/>
      <c r="E4" s="1502"/>
      <c r="F4" s="390" t="s">
        <v>19</v>
      </c>
      <c r="G4" s="390" t="s">
        <v>20</v>
      </c>
      <c r="H4" s="1504"/>
    </row>
    <row r="5" spans="1:9">
      <c r="A5" s="424">
        <v>1</v>
      </c>
      <c r="B5" s="303">
        <v>2</v>
      </c>
      <c r="C5" s="303">
        <v>3</v>
      </c>
      <c r="D5" s="303">
        <v>4</v>
      </c>
      <c r="E5" s="303">
        <v>5</v>
      </c>
      <c r="F5" s="303">
        <v>6</v>
      </c>
      <c r="G5" s="303">
        <v>7</v>
      </c>
      <c r="H5" s="267">
        <v>8</v>
      </c>
    </row>
    <row r="6" spans="1:9" ht="15" customHeight="1">
      <c r="A6" s="1507">
        <v>1</v>
      </c>
      <c r="B6" s="1508">
        <v>805575</v>
      </c>
      <c r="C6" s="1509" t="s">
        <v>480</v>
      </c>
      <c r="D6" s="1510" t="s">
        <v>481</v>
      </c>
      <c r="E6" s="1505">
        <v>2.9670000000000001</v>
      </c>
      <c r="F6" s="1505" t="s">
        <v>60</v>
      </c>
      <c r="G6" s="1505" t="s">
        <v>483</v>
      </c>
      <c r="H6" s="1506">
        <v>2.9670000000000001</v>
      </c>
    </row>
    <row r="7" spans="1:9" ht="15" customHeight="1">
      <c r="A7" s="1507"/>
      <c r="B7" s="1508"/>
      <c r="C7" s="1509"/>
      <c r="D7" s="1510"/>
      <c r="E7" s="1505"/>
      <c r="F7" s="1505"/>
      <c r="G7" s="1505"/>
      <c r="H7" s="1506"/>
      <c r="I7" t="str">
        <f>IF(H6&gt;E6,9999,"")</f>
        <v/>
      </c>
    </row>
    <row r="8" spans="1:9" ht="15" customHeight="1">
      <c r="A8" s="1507"/>
      <c r="B8" s="1508"/>
      <c r="C8" s="1509"/>
      <c r="D8" s="1510"/>
      <c r="E8" s="1505"/>
      <c r="F8" s="1505"/>
      <c r="G8" s="1505"/>
      <c r="H8" s="1506"/>
      <c r="I8" t="str">
        <f t="shared" ref="I8:I71" si="0">IF(H7&gt;E7,9999,"")</f>
        <v/>
      </c>
    </row>
    <row r="9" spans="1:9" ht="15" customHeight="1">
      <c r="A9" s="1507"/>
      <c r="B9" s="1508"/>
      <c r="C9" s="1509"/>
      <c r="D9" s="1510"/>
      <c r="E9" s="1505"/>
      <c r="F9" s="1505"/>
      <c r="G9" s="1505"/>
      <c r="H9" s="1506"/>
      <c r="I9" t="str">
        <f t="shared" si="0"/>
        <v/>
      </c>
    </row>
    <row r="10" spans="1:9" ht="38.25" customHeight="1">
      <c r="A10" s="1507">
        <v>2</v>
      </c>
      <c r="B10" s="1508">
        <v>805575</v>
      </c>
      <c r="C10" s="1509" t="s">
        <v>484</v>
      </c>
      <c r="D10" s="1510" t="s">
        <v>481</v>
      </c>
      <c r="E10" s="1505">
        <v>7.29</v>
      </c>
      <c r="F10" s="1505" t="s">
        <v>483</v>
      </c>
      <c r="G10" s="1505" t="s">
        <v>489</v>
      </c>
      <c r="H10" s="1506">
        <v>7.29</v>
      </c>
      <c r="I10" t="str">
        <f t="shared" si="0"/>
        <v/>
      </c>
    </row>
    <row r="11" spans="1:9" ht="38.25" customHeight="1">
      <c r="A11" s="1507"/>
      <c r="B11" s="1508"/>
      <c r="C11" s="1509"/>
      <c r="D11" s="1510"/>
      <c r="E11" s="1505"/>
      <c r="F11" s="1505"/>
      <c r="G11" s="1505"/>
      <c r="H11" s="1506"/>
      <c r="I11" t="str">
        <f t="shared" si="0"/>
        <v/>
      </c>
    </row>
    <row r="12" spans="1:9" ht="15" customHeight="1">
      <c r="A12" s="1507">
        <v>3</v>
      </c>
      <c r="B12" s="1508" t="s">
        <v>486</v>
      </c>
      <c r="C12" s="1509" t="s">
        <v>487</v>
      </c>
      <c r="D12" s="1510" t="s">
        <v>488</v>
      </c>
      <c r="E12" s="1505">
        <v>36.115000000000002</v>
      </c>
      <c r="F12" s="1505" t="s">
        <v>60</v>
      </c>
      <c r="G12" s="1505" t="s">
        <v>2565</v>
      </c>
      <c r="H12" s="1506">
        <v>36.115000000000002</v>
      </c>
      <c r="I12" t="str">
        <f t="shared" si="0"/>
        <v/>
      </c>
    </row>
    <row r="13" spans="1:9" ht="15" customHeight="1">
      <c r="A13" s="1507"/>
      <c r="B13" s="1508"/>
      <c r="C13" s="1509"/>
      <c r="D13" s="1510"/>
      <c r="E13" s="1505"/>
      <c r="F13" s="1505"/>
      <c r="G13" s="1505"/>
      <c r="H13" s="1506"/>
      <c r="I13" t="str">
        <f t="shared" si="0"/>
        <v/>
      </c>
    </row>
    <row r="14" spans="1:9" ht="15" customHeight="1">
      <c r="A14" s="1507"/>
      <c r="B14" s="1508"/>
      <c r="C14" s="1509"/>
      <c r="D14" s="1510"/>
      <c r="E14" s="1505"/>
      <c r="F14" s="1505"/>
      <c r="G14" s="1505"/>
      <c r="H14" s="1506"/>
      <c r="I14" t="str">
        <f t="shared" si="0"/>
        <v/>
      </c>
    </row>
    <row r="15" spans="1:9" ht="15" customHeight="1">
      <c r="A15" s="1507"/>
      <c r="B15" s="1508"/>
      <c r="C15" s="1509"/>
      <c r="D15" s="1510"/>
      <c r="E15" s="1505"/>
      <c r="F15" s="1505"/>
      <c r="G15" s="1505"/>
      <c r="H15" s="1506"/>
      <c r="I15" t="str">
        <f t="shared" si="0"/>
        <v/>
      </c>
    </row>
    <row r="16" spans="1:9" ht="7.5" customHeight="1">
      <c r="A16" s="1511">
        <v>4</v>
      </c>
      <c r="B16" s="1514" t="s">
        <v>486</v>
      </c>
      <c r="C16" s="1517" t="s">
        <v>493</v>
      </c>
      <c r="D16" s="1520" t="s">
        <v>488</v>
      </c>
      <c r="E16" s="1505">
        <v>22.4</v>
      </c>
      <c r="F16" s="1505" t="s">
        <v>60</v>
      </c>
      <c r="G16" s="1505" t="s">
        <v>497</v>
      </c>
      <c r="H16" s="1506">
        <v>22.4</v>
      </c>
      <c r="I16" t="str">
        <f t="shared" si="0"/>
        <v/>
      </c>
    </row>
    <row r="17" spans="1:9" ht="7.5" customHeight="1">
      <c r="A17" s="1512"/>
      <c r="B17" s="1515"/>
      <c r="C17" s="1518"/>
      <c r="D17" s="1521"/>
      <c r="E17" s="1505"/>
      <c r="F17" s="1505"/>
      <c r="G17" s="1505"/>
      <c r="H17" s="1506"/>
      <c r="I17" t="str">
        <f t="shared" si="0"/>
        <v/>
      </c>
    </row>
    <row r="18" spans="1:9" ht="7.5" customHeight="1">
      <c r="A18" s="1512"/>
      <c r="B18" s="1515"/>
      <c r="C18" s="1518"/>
      <c r="D18" s="1521"/>
      <c r="E18" s="1505"/>
      <c r="F18" s="1505"/>
      <c r="G18" s="1505"/>
      <c r="H18" s="1506"/>
      <c r="I18" t="str">
        <f t="shared" si="0"/>
        <v/>
      </c>
    </row>
    <row r="19" spans="1:9" ht="7.5" customHeight="1">
      <c r="A19" s="1512"/>
      <c r="B19" s="1515"/>
      <c r="C19" s="1518"/>
      <c r="D19" s="1521"/>
      <c r="E19" s="1505"/>
      <c r="F19" s="1505"/>
      <c r="G19" s="1505"/>
      <c r="H19" s="1506"/>
      <c r="I19" t="str">
        <f t="shared" si="0"/>
        <v/>
      </c>
    </row>
    <row r="20" spans="1:9" ht="7.5" customHeight="1">
      <c r="A20" s="1512"/>
      <c r="B20" s="1515"/>
      <c r="C20" s="1518"/>
      <c r="D20" s="1521"/>
      <c r="E20" s="1505"/>
      <c r="F20" s="1505"/>
      <c r="G20" s="1505"/>
      <c r="H20" s="1506"/>
      <c r="I20" t="str">
        <f t="shared" si="0"/>
        <v/>
      </c>
    </row>
    <row r="21" spans="1:9" ht="7.5" customHeight="1">
      <c r="A21" s="1512"/>
      <c r="B21" s="1515"/>
      <c r="C21" s="1518"/>
      <c r="D21" s="1521"/>
      <c r="E21" s="1505"/>
      <c r="F21" s="1505"/>
      <c r="G21" s="1505"/>
      <c r="H21" s="1506"/>
      <c r="I21" t="str">
        <f t="shared" si="0"/>
        <v/>
      </c>
    </row>
    <row r="22" spans="1:9" ht="7.5" customHeight="1">
      <c r="A22" s="1513"/>
      <c r="B22" s="1516"/>
      <c r="C22" s="1519"/>
      <c r="D22" s="1522"/>
      <c r="E22" s="1505"/>
      <c r="F22" s="1505"/>
      <c r="G22" s="1505"/>
      <c r="H22" s="1506"/>
      <c r="I22" t="str">
        <f t="shared" si="0"/>
        <v/>
      </c>
    </row>
    <row r="23" spans="1:9" ht="15" customHeight="1">
      <c r="A23" s="1507">
        <v>5</v>
      </c>
      <c r="B23" s="1508" t="s">
        <v>498</v>
      </c>
      <c r="C23" s="1509" t="s">
        <v>499</v>
      </c>
      <c r="D23" s="1510" t="s">
        <v>500</v>
      </c>
      <c r="E23" s="1505">
        <v>49.3</v>
      </c>
      <c r="F23" s="1505" t="s">
        <v>60</v>
      </c>
      <c r="G23" s="1505" t="s">
        <v>2566</v>
      </c>
      <c r="H23" s="1506">
        <v>0</v>
      </c>
      <c r="I23" t="str">
        <f t="shared" si="0"/>
        <v/>
      </c>
    </row>
    <row r="24" spans="1:9" ht="15" customHeight="1">
      <c r="A24" s="1507"/>
      <c r="B24" s="1508"/>
      <c r="C24" s="1509"/>
      <c r="D24" s="1510"/>
      <c r="E24" s="1505"/>
      <c r="F24" s="1505"/>
      <c r="G24" s="1505"/>
      <c r="H24" s="1506"/>
      <c r="I24" t="str">
        <f t="shared" si="0"/>
        <v/>
      </c>
    </row>
    <row r="25" spans="1:9" ht="15" customHeight="1">
      <c r="A25" s="1507"/>
      <c r="B25" s="1508"/>
      <c r="C25" s="1509"/>
      <c r="D25" s="1510"/>
      <c r="E25" s="1505"/>
      <c r="F25" s="1505"/>
      <c r="G25" s="1505"/>
      <c r="H25" s="1506"/>
      <c r="I25" t="str">
        <f t="shared" si="0"/>
        <v/>
      </c>
    </row>
    <row r="26" spans="1:9" ht="15" customHeight="1">
      <c r="A26" s="1507"/>
      <c r="B26" s="1508"/>
      <c r="C26" s="1509"/>
      <c r="D26" s="1510"/>
      <c r="E26" s="1505"/>
      <c r="F26" s="1505"/>
      <c r="G26" s="1505"/>
      <c r="H26" s="1506"/>
      <c r="I26" t="str">
        <f t="shared" si="0"/>
        <v/>
      </c>
    </row>
    <row r="27" spans="1:9" ht="6" customHeight="1">
      <c r="A27" s="1507">
        <v>6</v>
      </c>
      <c r="B27" s="1508" t="s">
        <v>501</v>
      </c>
      <c r="C27" s="1509" t="s">
        <v>502</v>
      </c>
      <c r="D27" s="1510" t="s">
        <v>503</v>
      </c>
      <c r="E27" s="1505">
        <v>58.877000000000002</v>
      </c>
      <c r="F27" s="1505" t="s">
        <v>504</v>
      </c>
      <c r="G27" s="1505" t="s">
        <v>2567</v>
      </c>
      <c r="H27" s="1523">
        <v>58.877000000000002</v>
      </c>
      <c r="I27" t="str">
        <f t="shared" si="0"/>
        <v/>
      </c>
    </row>
    <row r="28" spans="1:9" ht="6" customHeight="1">
      <c r="A28" s="1507"/>
      <c r="B28" s="1508"/>
      <c r="C28" s="1509"/>
      <c r="D28" s="1510"/>
      <c r="E28" s="1505"/>
      <c r="F28" s="1505"/>
      <c r="G28" s="1505"/>
      <c r="H28" s="1523"/>
      <c r="I28" t="str">
        <f t="shared" si="0"/>
        <v/>
      </c>
    </row>
    <row r="29" spans="1:9" ht="6" customHeight="1">
      <c r="A29" s="1507"/>
      <c r="B29" s="1508"/>
      <c r="C29" s="1509"/>
      <c r="D29" s="1510"/>
      <c r="E29" s="1505"/>
      <c r="F29" s="1505"/>
      <c r="G29" s="1505"/>
      <c r="H29" s="1523"/>
      <c r="I29" t="str">
        <f t="shared" si="0"/>
        <v/>
      </c>
    </row>
    <row r="30" spans="1:9" ht="6" customHeight="1">
      <c r="A30" s="1507"/>
      <c r="B30" s="1508"/>
      <c r="C30" s="1509"/>
      <c r="D30" s="1510"/>
      <c r="E30" s="1505"/>
      <c r="F30" s="1505"/>
      <c r="G30" s="1505"/>
      <c r="H30" s="1523"/>
      <c r="I30" t="str">
        <f t="shared" si="0"/>
        <v/>
      </c>
    </row>
    <row r="31" spans="1:9" ht="6" customHeight="1">
      <c r="A31" s="1507"/>
      <c r="B31" s="1508"/>
      <c r="C31" s="1509"/>
      <c r="D31" s="1510"/>
      <c r="E31" s="1505"/>
      <c r="F31" s="1505"/>
      <c r="G31" s="1505"/>
      <c r="H31" s="1523"/>
      <c r="I31" t="str">
        <f t="shared" si="0"/>
        <v/>
      </c>
    </row>
    <row r="32" spans="1:9" ht="6" customHeight="1">
      <c r="A32" s="1507"/>
      <c r="B32" s="1508"/>
      <c r="C32" s="1509"/>
      <c r="D32" s="1510"/>
      <c r="E32" s="1505"/>
      <c r="F32" s="1505"/>
      <c r="G32" s="1505"/>
      <c r="H32" s="1523"/>
      <c r="I32" t="str">
        <f t="shared" si="0"/>
        <v/>
      </c>
    </row>
    <row r="33" spans="1:9" ht="15" customHeight="1">
      <c r="A33" s="1507">
        <v>7</v>
      </c>
      <c r="B33" s="1508" t="s">
        <v>501</v>
      </c>
      <c r="C33" s="1509" t="s">
        <v>509</v>
      </c>
      <c r="D33" s="1510" t="s">
        <v>503</v>
      </c>
      <c r="E33" s="1505">
        <v>27.59</v>
      </c>
      <c r="F33" s="1505" t="s">
        <v>510</v>
      </c>
      <c r="G33" s="1505" t="s">
        <v>2568</v>
      </c>
      <c r="H33" s="1523">
        <v>27.59</v>
      </c>
      <c r="I33" t="str">
        <f t="shared" si="0"/>
        <v/>
      </c>
    </row>
    <row r="34" spans="1:9" ht="15" customHeight="1">
      <c r="A34" s="1507"/>
      <c r="B34" s="1508"/>
      <c r="C34" s="1509"/>
      <c r="D34" s="1510"/>
      <c r="E34" s="1505"/>
      <c r="F34" s="1505"/>
      <c r="G34" s="1505"/>
      <c r="H34" s="1523"/>
      <c r="I34" t="str">
        <f t="shared" si="0"/>
        <v/>
      </c>
    </row>
    <row r="35" spans="1:9" ht="15" customHeight="1">
      <c r="A35" s="1507"/>
      <c r="B35" s="1508"/>
      <c r="C35" s="1509"/>
      <c r="D35" s="1510"/>
      <c r="E35" s="1505"/>
      <c r="F35" s="1505"/>
      <c r="G35" s="1505"/>
      <c r="H35" s="1523"/>
      <c r="I35" t="str">
        <f t="shared" si="0"/>
        <v/>
      </c>
    </row>
    <row r="36" spans="1:9" ht="15" customHeight="1">
      <c r="A36" s="1507"/>
      <c r="B36" s="1508"/>
      <c r="C36" s="1509"/>
      <c r="D36" s="1510"/>
      <c r="E36" s="1505"/>
      <c r="F36" s="1505"/>
      <c r="G36" s="1505"/>
      <c r="H36" s="1523"/>
      <c r="I36" t="str">
        <f t="shared" si="0"/>
        <v/>
      </c>
    </row>
    <row r="37" spans="1:9" ht="15" customHeight="1">
      <c r="A37" s="1511">
        <v>8</v>
      </c>
      <c r="B37" s="1514" t="s">
        <v>501</v>
      </c>
      <c r="C37" s="1517" t="s">
        <v>512</v>
      </c>
      <c r="D37" s="1520" t="s">
        <v>503</v>
      </c>
      <c r="E37" s="1505">
        <v>12.548</v>
      </c>
      <c r="F37" s="1505" t="s">
        <v>513</v>
      </c>
      <c r="G37" s="1505" t="s">
        <v>2569</v>
      </c>
      <c r="H37" s="1523">
        <v>12.548</v>
      </c>
      <c r="I37" t="str">
        <f t="shared" si="0"/>
        <v/>
      </c>
    </row>
    <row r="38" spans="1:9" ht="15" customHeight="1">
      <c r="A38" s="1512"/>
      <c r="B38" s="1515"/>
      <c r="C38" s="1518"/>
      <c r="D38" s="1521"/>
      <c r="E38" s="1505"/>
      <c r="F38" s="1505"/>
      <c r="G38" s="1505"/>
      <c r="H38" s="1523"/>
      <c r="I38" t="str">
        <f t="shared" si="0"/>
        <v/>
      </c>
    </row>
    <row r="39" spans="1:9" ht="15" customHeight="1">
      <c r="A39" s="1513"/>
      <c r="B39" s="1516"/>
      <c r="C39" s="1519"/>
      <c r="D39" s="1522"/>
      <c r="E39" s="1505"/>
      <c r="F39" s="1505"/>
      <c r="G39" s="1505"/>
      <c r="H39" s="1523"/>
      <c r="I39" t="str">
        <f t="shared" si="0"/>
        <v/>
      </c>
    </row>
    <row r="40" spans="1:9" ht="36.75" customHeight="1">
      <c r="A40" s="1507">
        <v>9</v>
      </c>
      <c r="B40" s="1508" t="s">
        <v>514</v>
      </c>
      <c r="C40" s="1509" t="s">
        <v>515</v>
      </c>
      <c r="D40" s="1510" t="s">
        <v>516</v>
      </c>
      <c r="E40" s="1505">
        <v>26.63</v>
      </c>
      <c r="F40" s="1505" t="s">
        <v>60</v>
      </c>
      <c r="G40" s="1505" t="s">
        <v>2570</v>
      </c>
      <c r="H40" s="1523">
        <v>26.63</v>
      </c>
      <c r="I40" t="str">
        <f t="shared" si="0"/>
        <v/>
      </c>
    </row>
    <row r="41" spans="1:9" ht="36.75" customHeight="1">
      <c r="A41" s="1507"/>
      <c r="B41" s="1508"/>
      <c r="C41" s="1509"/>
      <c r="D41" s="1510"/>
      <c r="E41" s="1505"/>
      <c r="F41" s="1505"/>
      <c r="G41" s="1505"/>
      <c r="H41" s="1523"/>
      <c r="I41" t="str">
        <f t="shared" si="0"/>
        <v/>
      </c>
    </row>
    <row r="42" spans="1:9" ht="36.75" customHeight="1">
      <c r="A42" s="1507">
        <v>10</v>
      </c>
      <c r="B42" s="1508" t="s">
        <v>514</v>
      </c>
      <c r="C42" s="1509" t="s">
        <v>517</v>
      </c>
      <c r="D42" s="1510" t="s">
        <v>516</v>
      </c>
      <c r="E42" s="1505">
        <v>43.4</v>
      </c>
      <c r="F42" s="1505" t="s">
        <v>518</v>
      </c>
      <c r="G42" s="1505" t="s">
        <v>519</v>
      </c>
      <c r="H42" s="1523">
        <v>43.4</v>
      </c>
      <c r="I42" t="str">
        <f t="shared" si="0"/>
        <v/>
      </c>
    </row>
    <row r="43" spans="1:9" ht="36.75" customHeight="1">
      <c r="A43" s="1507"/>
      <c r="B43" s="1508"/>
      <c r="C43" s="1509"/>
      <c r="D43" s="1510"/>
      <c r="E43" s="1505"/>
      <c r="F43" s="1505"/>
      <c r="G43" s="1505"/>
      <c r="H43" s="1523"/>
      <c r="I43" t="str">
        <f t="shared" si="0"/>
        <v/>
      </c>
    </row>
    <row r="44" spans="1:9" ht="36.75" customHeight="1">
      <c r="A44" s="1507">
        <v>11</v>
      </c>
      <c r="B44" s="1508" t="s">
        <v>514</v>
      </c>
      <c r="C44" s="1509" t="s">
        <v>520</v>
      </c>
      <c r="D44" s="1510" t="s">
        <v>516</v>
      </c>
      <c r="E44" s="1505">
        <v>66.599999999999994</v>
      </c>
      <c r="F44" s="1505" t="s">
        <v>2571</v>
      </c>
      <c r="G44" s="1505" t="s">
        <v>2572</v>
      </c>
      <c r="H44" s="1523">
        <v>66.599999999999994</v>
      </c>
      <c r="I44" t="str">
        <f t="shared" si="0"/>
        <v/>
      </c>
    </row>
    <row r="45" spans="1:9" ht="36.75" customHeight="1">
      <c r="A45" s="1507"/>
      <c r="B45" s="1508"/>
      <c r="C45" s="1509"/>
      <c r="D45" s="1510"/>
      <c r="E45" s="1505"/>
      <c r="F45" s="1505"/>
      <c r="G45" s="1505"/>
      <c r="H45" s="1523"/>
      <c r="I45" t="str">
        <f t="shared" si="0"/>
        <v/>
      </c>
    </row>
    <row r="46" spans="1:9" ht="15" customHeight="1">
      <c r="A46" s="1511">
        <v>12</v>
      </c>
      <c r="B46" s="1514" t="s">
        <v>514</v>
      </c>
      <c r="C46" s="1517" t="s">
        <v>521</v>
      </c>
      <c r="D46" s="1520" t="s">
        <v>516</v>
      </c>
      <c r="E46" s="1505">
        <v>30.27</v>
      </c>
      <c r="F46" s="1505" t="s">
        <v>524</v>
      </c>
      <c r="G46" s="1505" t="s">
        <v>523</v>
      </c>
      <c r="H46" s="1523">
        <v>30.27</v>
      </c>
      <c r="I46" t="str">
        <f t="shared" si="0"/>
        <v/>
      </c>
    </row>
    <row r="47" spans="1:9" ht="15" customHeight="1">
      <c r="A47" s="1512"/>
      <c r="B47" s="1515"/>
      <c r="C47" s="1518"/>
      <c r="D47" s="1521"/>
      <c r="E47" s="1505"/>
      <c r="F47" s="1505"/>
      <c r="G47" s="1505"/>
      <c r="H47" s="1523"/>
      <c r="I47" t="str">
        <f t="shared" si="0"/>
        <v/>
      </c>
    </row>
    <row r="48" spans="1:9" ht="15" customHeight="1">
      <c r="A48" s="1512"/>
      <c r="B48" s="1515"/>
      <c r="C48" s="1518"/>
      <c r="D48" s="1521"/>
      <c r="E48" s="1505"/>
      <c r="F48" s="1505"/>
      <c r="G48" s="1505"/>
      <c r="H48" s="1523"/>
      <c r="I48" t="str">
        <f t="shared" si="0"/>
        <v/>
      </c>
    </row>
    <row r="49" spans="1:9" ht="15" customHeight="1">
      <c r="A49" s="1513"/>
      <c r="B49" s="1516"/>
      <c r="C49" s="1519"/>
      <c r="D49" s="1522"/>
      <c r="E49" s="1505"/>
      <c r="F49" s="1505"/>
      <c r="G49" s="1505"/>
      <c r="H49" s="1523"/>
      <c r="I49" t="str">
        <f t="shared" si="0"/>
        <v/>
      </c>
    </row>
    <row r="50" spans="1:9" ht="19.5" customHeight="1">
      <c r="A50" s="1507">
        <v>13</v>
      </c>
      <c r="B50" s="1508" t="s">
        <v>525</v>
      </c>
      <c r="C50" s="1509" t="s">
        <v>526</v>
      </c>
      <c r="D50" s="1510" t="s">
        <v>527</v>
      </c>
      <c r="E50" s="1505">
        <v>11.867000000000001</v>
      </c>
      <c r="F50" s="1505" t="s">
        <v>60</v>
      </c>
      <c r="G50" s="1505" t="s">
        <v>2573</v>
      </c>
      <c r="H50" s="1506">
        <v>4.2</v>
      </c>
      <c r="I50" t="str">
        <f t="shared" si="0"/>
        <v/>
      </c>
    </row>
    <row r="51" spans="1:9" ht="15" customHeight="1">
      <c r="A51" s="1507"/>
      <c r="B51" s="1508"/>
      <c r="C51" s="1509"/>
      <c r="D51" s="1510"/>
      <c r="E51" s="1505"/>
      <c r="F51" s="1505"/>
      <c r="G51" s="1505"/>
      <c r="H51" s="1506"/>
      <c r="I51" t="str">
        <f t="shared" si="0"/>
        <v/>
      </c>
    </row>
    <row r="52" spans="1:9" ht="15" customHeight="1">
      <c r="A52" s="1511">
        <v>14</v>
      </c>
      <c r="B52" s="1514" t="s">
        <v>525</v>
      </c>
      <c r="C52" s="1517" t="s">
        <v>528</v>
      </c>
      <c r="D52" s="1520" t="s">
        <v>527</v>
      </c>
      <c r="E52" s="1505">
        <v>12.412000000000001</v>
      </c>
      <c r="F52" s="1505" t="s">
        <v>529</v>
      </c>
      <c r="G52" s="1505" t="s">
        <v>532</v>
      </c>
      <c r="H52" s="1506">
        <v>8.5</v>
      </c>
      <c r="I52" t="str">
        <f t="shared" si="0"/>
        <v/>
      </c>
    </row>
    <row r="53" spans="1:9" ht="15" customHeight="1">
      <c r="A53" s="1512"/>
      <c r="B53" s="1515"/>
      <c r="C53" s="1518"/>
      <c r="D53" s="1521"/>
      <c r="E53" s="1505"/>
      <c r="F53" s="1505"/>
      <c r="G53" s="1505"/>
      <c r="H53" s="1506"/>
      <c r="I53" t="str">
        <f t="shared" si="0"/>
        <v/>
      </c>
    </row>
    <row r="54" spans="1:9" ht="15" customHeight="1">
      <c r="A54" s="1513"/>
      <c r="B54" s="1516"/>
      <c r="C54" s="1519"/>
      <c r="D54" s="1522"/>
      <c r="E54" s="1505"/>
      <c r="F54" s="1505"/>
      <c r="G54" s="1505"/>
      <c r="H54" s="1506"/>
      <c r="I54" t="str">
        <f t="shared" si="0"/>
        <v/>
      </c>
    </row>
    <row r="55" spans="1:9" ht="51.75" customHeight="1">
      <c r="A55" s="1507">
        <v>15</v>
      </c>
      <c r="B55" s="1508" t="s">
        <v>533</v>
      </c>
      <c r="C55" s="1509" t="s">
        <v>534</v>
      </c>
      <c r="D55" s="1510" t="s">
        <v>535</v>
      </c>
      <c r="E55" s="1505">
        <v>24.56</v>
      </c>
      <c r="F55" s="1505" t="s">
        <v>60</v>
      </c>
      <c r="G55" s="1505" t="s">
        <v>2574</v>
      </c>
      <c r="H55" s="1506">
        <v>10</v>
      </c>
      <c r="I55" t="str">
        <f t="shared" si="0"/>
        <v/>
      </c>
    </row>
    <row r="56" spans="1:9" ht="51.75" customHeight="1">
      <c r="A56" s="1507"/>
      <c r="B56" s="1508"/>
      <c r="C56" s="1524"/>
      <c r="D56" s="1510"/>
      <c r="E56" s="1505"/>
      <c r="F56" s="1505"/>
      <c r="G56" s="1505"/>
      <c r="H56" s="1506"/>
      <c r="I56" t="str">
        <f t="shared" si="0"/>
        <v/>
      </c>
    </row>
    <row r="57" spans="1:9" ht="25.5" customHeight="1">
      <c r="A57" s="1507">
        <v>16</v>
      </c>
      <c r="B57" s="1508" t="s">
        <v>533</v>
      </c>
      <c r="C57" s="1509" t="s">
        <v>537</v>
      </c>
      <c r="D57" s="1510" t="s">
        <v>535</v>
      </c>
      <c r="E57" s="1505">
        <v>35.764000000000003</v>
      </c>
      <c r="F57" s="1505" t="s">
        <v>540</v>
      </c>
      <c r="G57" s="1505" t="s">
        <v>574</v>
      </c>
      <c r="H57" s="1506">
        <v>5</v>
      </c>
      <c r="I57" t="str">
        <f t="shared" si="0"/>
        <v/>
      </c>
    </row>
    <row r="58" spans="1:9" ht="25.5" customHeight="1">
      <c r="A58" s="1507"/>
      <c r="B58" s="1508"/>
      <c r="C58" s="1509"/>
      <c r="D58" s="1510"/>
      <c r="E58" s="1505"/>
      <c r="F58" s="1505"/>
      <c r="G58" s="1505"/>
      <c r="H58" s="1506"/>
      <c r="I58" t="str">
        <f t="shared" si="0"/>
        <v/>
      </c>
    </row>
    <row r="59" spans="1:9" ht="25.5" customHeight="1">
      <c r="A59" s="1507"/>
      <c r="B59" s="1508"/>
      <c r="C59" s="1509"/>
      <c r="D59" s="1510"/>
      <c r="E59" s="1505"/>
      <c r="F59" s="1505"/>
      <c r="G59" s="1505"/>
      <c r="H59" s="1506"/>
      <c r="I59" t="str">
        <f t="shared" si="0"/>
        <v/>
      </c>
    </row>
    <row r="60" spans="1:9" ht="25.5" customHeight="1">
      <c r="A60" s="1507"/>
      <c r="B60" s="1508"/>
      <c r="C60" s="1509"/>
      <c r="D60" s="1510"/>
      <c r="E60" s="1505"/>
      <c r="F60" s="1505"/>
      <c r="G60" s="1505"/>
      <c r="H60" s="1506"/>
      <c r="I60" t="str">
        <f t="shared" si="0"/>
        <v/>
      </c>
    </row>
    <row r="61" spans="1:9" ht="15" customHeight="1">
      <c r="A61" s="1507">
        <v>17</v>
      </c>
      <c r="B61" s="1508" t="s">
        <v>542</v>
      </c>
      <c r="C61" s="1509" t="s">
        <v>543</v>
      </c>
      <c r="D61" s="1510" t="s">
        <v>544</v>
      </c>
      <c r="E61" s="1505">
        <v>46.542000000000002</v>
      </c>
      <c r="F61" s="1505" t="s">
        <v>2575</v>
      </c>
      <c r="G61" s="1505" t="s">
        <v>546</v>
      </c>
      <c r="H61" s="1506">
        <v>38.9</v>
      </c>
      <c r="I61" t="str">
        <f t="shared" si="0"/>
        <v/>
      </c>
    </row>
    <row r="62" spans="1:9" ht="15" customHeight="1">
      <c r="A62" s="1507"/>
      <c r="B62" s="1508"/>
      <c r="C62" s="1509"/>
      <c r="D62" s="1510"/>
      <c r="E62" s="1505"/>
      <c r="F62" s="1505"/>
      <c r="G62" s="1505"/>
      <c r="H62" s="1506"/>
      <c r="I62" t="str">
        <f t="shared" si="0"/>
        <v/>
      </c>
    </row>
    <row r="63" spans="1:9" ht="15" customHeight="1">
      <c r="A63" s="1507"/>
      <c r="B63" s="1508"/>
      <c r="C63" s="1509"/>
      <c r="D63" s="1510"/>
      <c r="E63" s="1505"/>
      <c r="F63" s="1505"/>
      <c r="G63" s="1505"/>
      <c r="H63" s="1506"/>
      <c r="I63" t="str">
        <f t="shared" si="0"/>
        <v/>
      </c>
    </row>
    <row r="64" spans="1:9" ht="15" customHeight="1">
      <c r="A64" s="1507"/>
      <c r="B64" s="1508"/>
      <c r="C64" s="1509"/>
      <c r="D64" s="1510"/>
      <c r="E64" s="1505"/>
      <c r="F64" s="1505"/>
      <c r="G64" s="1505"/>
      <c r="H64" s="1506"/>
      <c r="I64" t="str">
        <f t="shared" si="0"/>
        <v/>
      </c>
    </row>
    <row r="65" spans="1:9" ht="15" customHeight="1">
      <c r="A65" s="1507">
        <v>18</v>
      </c>
      <c r="B65" s="1508" t="s">
        <v>542</v>
      </c>
      <c r="C65" s="1509" t="s">
        <v>547</v>
      </c>
      <c r="D65" s="1510" t="s">
        <v>544</v>
      </c>
      <c r="E65" s="1505">
        <v>40.134</v>
      </c>
      <c r="F65" s="1505" t="s">
        <v>548</v>
      </c>
      <c r="G65" s="1505" t="s">
        <v>2576</v>
      </c>
      <c r="H65" s="1506">
        <v>18.600000000000001</v>
      </c>
      <c r="I65" t="str">
        <f t="shared" si="0"/>
        <v/>
      </c>
    </row>
    <row r="66" spans="1:9" ht="25.5" customHeight="1">
      <c r="A66" s="1507"/>
      <c r="B66" s="1508"/>
      <c r="C66" s="1509"/>
      <c r="D66" s="1510"/>
      <c r="E66" s="1505"/>
      <c r="F66" s="1505"/>
      <c r="G66" s="1505"/>
      <c r="H66" s="1506"/>
      <c r="I66" t="str">
        <f t="shared" si="0"/>
        <v/>
      </c>
    </row>
    <row r="67" spans="1:9" ht="15" customHeight="1">
      <c r="A67" s="1507">
        <v>19</v>
      </c>
      <c r="B67" s="1508" t="s">
        <v>550</v>
      </c>
      <c r="C67" s="1509" t="s">
        <v>551</v>
      </c>
      <c r="D67" s="1510" t="s">
        <v>552</v>
      </c>
      <c r="E67" s="1505">
        <v>21.19</v>
      </c>
      <c r="F67" s="1505" t="s">
        <v>496</v>
      </c>
      <c r="G67" s="1505" t="s">
        <v>554</v>
      </c>
      <c r="H67" s="1506">
        <v>19</v>
      </c>
      <c r="I67" t="str">
        <f t="shared" si="0"/>
        <v/>
      </c>
    </row>
    <row r="68" spans="1:9" ht="15" customHeight="1">
      <c r="A68" s="1507"/>
      <c r="B68" s="1508"/>
      <c r="C68" s="1509"/>
      <c r="D68" s="1510"/>
      <c r="E68" s="1505"/>
      <c r="F68" s="1505"/>
      <c r="G68" s="1505"/>
      <c r="H68" s="1506"/>
      <c r="I68" t="str">
        <f t="shared" si="0"/>
        <v/>
      </c>
    </row>
    <row r="69" spans="1:9" ht="15" customHeight="1">
      <c r="A69" s="1507"/>
      <c r="B69" s="1508"/>
      <c r="C69" s="1509"/>
      <c r="D69" s="1510"/>
      <c r="E69" s="1505"/>
      <c r="F69" s="1505"/>
      <c r="G69" s="1505"/>
      <c r="H69" s="1506"/>
      <c r="I69" t="str">
        <f t="shared" si="0"/>
        <v/>
      </c>
    </row>
    <row r="70" spans="1:9" ht="15" customHeight="1">
      <c r="A70" s="1507"/>
      <c r="B70" s="1508"/>
      <c r="C70" s="1509"/>
      <c r="D70" s="1510"/>
      <c r="E70" s="1505"/>
      <c r="F70" s="1505"/>
      <c r="G70" s="1505"/>
      <c r="H70" s="1506"/>
      <c r="I70" t="str">
        <f t="shared" si="0"/>
        <v/>
      </c>
    </row>
    <row r="71" spans="1:9" ht="15" customHeight="1">
      <c r="A71" s="1511">
        <v>20</v>
      </c>
      <c r="B71" s="1514" t="s">
        <v>550</v>
      </c>
      <c r="C71" s="1517" t="s">
        <v>555</v>
      </c>
      <c r="D71" s="1520" t="s">
        <v>552</v>
      </c>
      <c r="E71" s="1505">
        <v>17.2</v>
      </c>
      <c r="F71" s="1505" t="s">
        <v>556</v>
      </c>
      <c r="G71" s="1505" t="s">
        <v>558</v>
      </c>
      <c r="H71" s="1506">
        <v>17.2</v>
      </c>
      <c r="I71" t="str">
        <f t="shared" si="0"/>
        <v/>
      </c>
    </row>
    <row r="72" spans="1:9" ht="15" customHeight="1">
      <c r="A72" s="1512"/>
      <c r="B72" s="1515"/>
      <c r="C72" s="1518"/>
      <c r="D72" s="1521"/>
      <c r="E72" s="1505"/>
      <c r="F72" s="1505"/>
      <c r="G72" s="1505"/>
      <c r="H72" s="1506"/>
      <c r="I72" t="str">
        <f t="shared" ref="I72:I135" si="1">IF(H71&gt;E71,9999,"")</f>
        <v/>
      </c>
    </row>
    <row r="73" spans="1:9" ht="15" customHeight="1">
      <c r="A73" s="1512"/>
      <c r="B73" s="1515"/>
      <c r="C73" s="1518"/>
      <c r="D73" s="1521"/>
      <c r="E73" s="1505"/>
      <c r="F73" s="1505"/>
      <c r="G73" s="1505"/>
      <c r="H73" s="1506"/>
      <c r="I73" t="str">
        <f t="shared" si="1"/>
        <v/>
      </c>
    </row>
    <row r="74" spans="1:9" ht="15" customHeight="1">
      <c r="A74" s="1512"/>
      <c r="B74" s="1515"/>
      <c r="C74" s="1518"/>
      <c r="D74" s="1521"/>
      <c r="E74" s="1505"/>
      <c r="F74" s="1505"/>
      <c r="G74" s="1505"/>
      <c r="H74" s="1506"/>
      <c r="I74" t="str">
        <f t="shared" si="1"/>
        <v/>
      </c>
    </row>
    <row r="75" spans="1:9" ht="15" customHeight="1">
      <c r="A75" s="1512"/>
      <c r="B75" s="1515"/>
      <c r="C75" s="1518"/>
      <c r="D75" s="1521"/>
      <c r="E75" s="1505"/>
      <c r="F75" s="1505"/>
      <c r="G75" s="1505"/>
      <c r="H75" s="1506"/>
      <c r="I75" t="str">
        <f t="shared" si="1"/>
        <v/>
      </c>
    </row>
    <row r="76" spans="1:9" ht="15" customHeight="1">
      <c r="A76" s="1513"/>
      <c r="B76" s="1516"/>
      <c r="C76" s="1519"/>
      <c r="D76" s="1522"/>
      <c r="E76" s="1505"/>
      <c r="F76" s="1505"/>
      <c r="G76" s="1505"/>
      <c r="H76" s="1506"/>
      <c r="I76" t="str">
        <f t="shared" si="1"/>
        <v/>
      </c>
    </row>
    <row r="77" spans="1:9" ht="29.25" customHeight="1">
      <c r="A77" s="1507">
        <v>21</v>
      </c>
      <c r="B77" s="1508" t="s">
        <v>559</v>
      </c>
      <c r="C77" s="1509" t="s">
        <v>560</v>
      </c>
      <c r="D77" s="1510" t="s">
        <v>561</v>
      </c>
      <c r="E77" s="1505">
        <v>29.725000000000001</v>
      </c>
      <c r="F77" s="1505" t="s">
        <v>60</v>
      </c>
      <c r="G77" s="1505" t="s">
        <v>2577</v>
      </c>
      <c r="H77" s="1506">
        <v>12.8</v>
      </c>
      <c r="I77" t="str">
        <f t="shared" si="1"/>
        <v/>
      </c>
    </row>
    <row r="78" spans="1:9" ht="29.25" customHeight="1">
      <c r="A78" s="1507"/>
      <c r="B78" s="1508"/>
      <c r="C78" s="1509"/>
      <c r="D78" s="1510"/>
      <c r="E78" s="1505"/>
      <c r="F78" s="1505"/>
      <c r="G78" s="1505"/>
      <c r="H78" s="1506"/>
      <c r="I78" t="str">
        <f t="shared" si="1"/>
        <v/>
      </c>
    </row>
    <row r="79" spans="1:9" ht="29.25" customHeight="1">
      <c r="A79" s="1507">
        <v>22</v>
      </c>
      <c r="B79" s="1508" t="s">
        <v>562</v>
      </c>
      <c r="C79" s="1509" t="s">
        <v>563</v>
      </c>
      <c r="D79" s="1510" t="s">
        <v>564</v>
      </c>
      <c r="E79" s="1505">
        <v>50.17</v>
      </c>
      <c r="F79" s="1505" t="s">
        <v>60</v>
      </c>
      <c r="G79" s="1505" t="s">
        <v>2578</v>
      </c>
      <c r="H79" s="1506">
        <v>12.5</v>
      </c>
      <c r="I79" t="str">
        <f t="shared" si="1"/>
        <v/>
      </c>
    </row>
    <row r="80" spans="1:9" ht="29.25" customHeight="1">
      <c r="A80" s="1507"/>
      <c r="B80" s="1508"/>
      <c r="C80" s="1524"/>
      <c r="D80" s="1510"/>
      <c r="E80" s="1505"/>
      <c r="F80" s="1505"/>
      <c r="G80" s="1505"/>
      <c r="H80" s="1506"/>
      <c r="I80" t="str">
        <f t="shared" si="1"/>
        <v/>
      </c>
    </row>
    <row r="81" spans="1:9" ht="15" customHeight="1">
      <c r="A81" s="1511">
        <v>23</v>
      </c>
      <c r="B81" s="1514" t="s">
        <v>562</v>
      </c>
      <c r="C81" s="1517" t="s">
        <v>565</v>
      </c>
      <c r="D81" s="1520" t="s">
        <v>564</v>
      </c>
      <c r="E81" s="1505">
        <v>32.67</v>
      </c>
      <c r="F81" s="1505" t="s">
        <v>2579</v>
      </c>
      <c r="G81" s="1505" t="s">
        <v>2580</v>
      </c>
      <c r="H81" s="1506">
        <v>23.9</v>
      </c>
      <c r="I81" t="str">
        <f t="shared" si="1"/>
        <v/>
      </c>
    </row>
    <row r="82" spans="1:9" ht="15" customHeight="1">
      <c r="A82" s="1512"/>
      <c r="B82" s="1515"/>
      <c r="C82" s="1518"/>
      <c r="D82" s="1521"/>
      <c r="E82" s="1505"/>
      <c r="F82" s="1505"/>
      <c r="G82" s="1505"/>
      <c r="H82" s="1506"/>
      <c r="I82" t="str">
        <f t="shared" si="1"/>
        <v/>
      </c>
    </row>
    <row r="83" spans="1:9" ht="15" customHeight="1">
      <c r="A83" s="1512"/>
      <c r="B83" s="1515"/>
      <c r="C83" s="1518"/>
      <c r="D83" s="1521"/>
      <c r="E83" s="1505"/>
      <c r="F83" s="1505"/>
      <c r="G83" s="1505"/>
      <c r="H83" s="1506"/>
      <c r="I83" t="str">
        <f t="shared" si="1"/>
        <v/>
      </c>
    </row>
    <row r="84" spans="1:9" ht="15" customHeight="1">
      <c r="A84" s="1513"/>
      <c r="B84" s="1516"/>
      <c r="C84" s="1519"/>
      <c r="D84" s="1522"/>
      <c r="E84" s="1505"/>
      <c r="F84" s="1505"/>
      <c r="G84" s="1505"/>
      <c r="H84" s="1506"/>
      <c r="I84" t="str">
        <f t="shared" si="1"/>
        <v/>
      </c>
    </row>
    <row r="85" spans="1:9" ht="15" customHeight="1">
      <c r="A85" s="1507">
        <v>24</v>
      </c>
      <c r="B85" s="1508">
        <v>805467</v>
      </c>
      <c r="C85" s="1509" t="s">
        <v>568</v>
      </c>
      <c r="D85" s="1510" t="s">
        <v>569</v>
      </c>
      <c r="E85" s="1505">
        <v>12.727</v>
      </c>
      <c r="F85" s="1505" t="s">
        <v>570</v>
      </c>
      <c r="G85" s="1505" t="s">
        <v>571</v>
      </c>
      <c r="H85" s="1506">
        <v>5</v>
      </c>
      <c r="I85" t="str">
        <f t="shared" si="1"/>
        <v/>
      </c>
    </row>
    <row r="86" spans="1:9" ht="15" customHeight="1">
      <c r="A86" s="1507"/>
      <c r="B86" s="1508"/>
      <c r="C86" s="1509"/>
      <c r="D86" s="1510"/>
      <c r="E86" s="1505"/>
      <c r="F86" s="1505"/>
      <c r="G86" s="1505"/>
      <c r="H86" s="1506"/>
      <c r="I86" t="str">
        <f t="shared" si="1"/>
        <v/>
      </c>
    </row>
    <row r="87" spans="1:9" ht="15" customHeight="1">
      <c r="A87" s="1507"/>
      <c r="B87" s="1508"/>
      <c r="C87" s="1509"/>
      <c r="D87" s="1510"/>
      <c r="E87" s="1505"/>
      <c r="F87" s="1505"/>
      <c r="G87" s="1505"/>
      <c r="H87" s="1506"/>
      <c r="I87" t="str">
        <f t="shared" si="1"/>
        <v/>
      </c>
    </row>
    <row r="88" spans="1:9" ht="15" customHeight="1">
      <c r="A88" s="1507"/>
      <c r="B88" s="1508"/>
      <c r="C88" s="1509"/>
      <c r="D88" s="1510"/>
      <c r="E88" s="1505"/>
      <c r="F88" s="1505"/>
      <c r="G88" s="1505"/>
      <c r="H88" s="1506"/>
      <c r="I88" t="str">
        <f t="shared" si="1"/>
        <v/>
      </c>
    </row>
    <row r="89" spans="1:9" ht="15" customHeight="1">
      <c r="A89" s="1507">
        <v>25</v>
      </c>
      <c r="B89" s="1508">
        <v>805467</v>
      </c>
      <c r="C89" s="1509" t="s">
        <v>572</v>
      </c>
      <c r="D89" s="1510" t="s">
        <v>569</v>
      </c>
      <c r="E89" s="1505">
        <v>26.434000000000001</v>
      </c>
      <c r="F89" s="1505" t="s">
        <v>575</v>
      </c>
      <c r="G89" s="1505" t="s">
        <v>574</v>
      </c>
      <c r="H89" s="1506">
        <v>15.1</v>
      </c>
      <c r="I89" t="str">
        <f t="shared" si="1"/>
        <v/>
      </c>
    </row>
    <row r="90" spans="1:9" ht="15" customHeight="1">
      <c r="A90" s="1507"/>
      <c r="B90" s="1508"/>
      <c r="C90" s="1509"/>
      <c r="D90" s="1510"/>
      <c r="E90" s="1505"/>
      <c r="F90" s="1505"/>
      <c r="G90" s="1505"/>
      <c r="H90" s="1506"/>
      <c r="I90" t="str">
        <f t="shared" si="1"/>
        <v/>
      </c>
    </row>
    <row r="91" spans="1:9" ht="15" customHeight="1">
      <c r="A91" s="1507"/>
      <c r="B91" s="1508"/>
      <c r="C91" s="1509"/>
      <c r="D91" s="1510"/>
      <c r="E91" s="1505"/>
      <c r="F91" s="1505"/>
      <c r="G91" s="1505"/>
      <c r="H91" s="1506"/>
      <c r="I91" t="str">
        <f t="shared" si="1"/>
        <v/>
      </c>
    </row>
    <row r="92" spans="1:9" ht="15" customHeight="1">
      <c r="A92" s="1507"/>
      <c r="B92" s="1508"/>
      <c r="C92" s="1509"/>
      <c r="D92" s="1510"/>
      <c r="E92" s="1505"/>
      <c r="F92" s="1505"/>
      <c r="G92" s="1505"/>
      <c r="H92" s="1506"/>
      <c r="I92" t="str">
        <f t="shared" si="1"/>
        <v/>
      </c>
    </row>
    <row r="93" spans="1:9" ht="15" customHeight="1">
      <c r="A93" s="1507"/>
      <c r="B93" s="1508"/>
      <c r="C93" s="1509"/>
      <c r="D93" s="1510"/>
      <c r="E93" s="1505"/>
      <c r="F93" s="1505"/>
      <c r="G93" s="1505"/>
      <c r="H93" s="1506"/>
      <c r="I93" t="str">
        <f t="shared" si="1"/>
        <v/>
      </c>
    </row>
    <row r="94" spans="1:9" ht="15" customHeight="1">
      <c r="A94" s="1507">
        <v>26</v>
      </c>
      <c r="B94" s="1508" t="s">
        <v>576</v>
      </c>
      <c r="C94" s="1509" t="s">
        <v>577</v>
      </c>
      <c r="D94" s="1510" t="s">
        <v>578</v>
      </c>
      <c r="E94" s="1505">
        <v>24.263000000000002</v>
      </c>
      <c r="F94" s="1505" t="s">
        <v>579</v>
      </c>
      <c r="G94" s="1505" t="s">
        <v>2581</v>
      </c>
      <c r="H94" s="1506">
        <v>0</v>
      </c>
      <c r="I94" t="str">
        <f t="shared" si="1"/>
        <v/>
      </c>
    </row>
    <row r="95" spans="1:9" ht="15" customHeight="1">
      <c r="A95" s="1507"/>
      <c r="B95" s="1508"/>
      <c r="C95" s="1509"/>
      <c r="D95" s="1510"/>
      <c r="E95" s="1505"/>
      <c r="F95" s="1505"/>
      <c r="G95" s="1505"/>
      <c r="H95" s="1506"/>
      <c r="I95" t="str">
        <f t="shared" si="1"/>
        <v/>
      </c>
    </row>
    <row r="96" spans="1:9" ht="34.5" customHeight="1">
      <c r="A96" s="1507">
        <v>27</v>
      </c>
      <c r="B96" s="1508" t="s">
        <v>581</v>
      </c>
      <c r="C96" s="1509" t="s">
        <v>582</v>
      </c>
      <c r="D96" s="1510" t="s">
        <v>583</v>
      </c>
      <c r="E96" s="1505">
        <v>38.832999999999998</v>
      </c>
      <c r="F96" s="1505" t="s">
        <v>584</v>
      </c>
      <c r="G96" s="1505" t="s">
        <v>2582</v>
      </c>
      <c r="H96" s="1506">
        <v>0</v>
      </c>
      <c r="I96" t="str">
        <f t="shared" si="1"/>
        <v/>
      </c>
    </row>
    <row r="97" spans="1:9" ht="34.5" customHeight="1">
      <c r="A97" s="1507"/>
      <c r="B97" s="1508"/>
      <c r="C97" s="1509"/>
      <c r="D97" s="1510"/>
      <c r="E97" s="1505"/>
      <c r="F97" s="1505"/>
      <c r="G97" s="1505"/>
      <c r="H97" s="1506"/>
      <c r="I97" t="str">
        <f t="shared" si="1"/>
        <v/>
      </c>
    </row>
    <row r="98" spans="1:9" ht="34.5" customHeight="1">
      <c r="A98" s="1507">
        <v>28</v>
      </c>
      <c r="B98" s="1508" t="s">
        <v>586</v>
      </c>
      <c r="C98" s="1509" t="s">
        <v>587</v>
      </c>
      <c r="D98" s="1510" t="s">
        <v>588</v>
      </c>
      <c r="E98" s="1505">
        <v>40.795999999999999</v>
      </c>
      <c r="F98" s="1505" t="s">
        <v>60</v>
      </c>
      <c r="G98" s="1505" t="s">
        <v>2583</v>
      </c>
      <c r="H98" s="1506">
        <v>0</v>
      </c>
      <c r="I98" t="str">
        <f t="shared" si="1"/>
        <v/>
      </c>
    </row>
    <row r="99" spans="1:9" ht="34.5" customHeight="1">
      <c r="A99" s="1507"/>
      <c r="B99" s="1508"/>
      <c r="C99" s="1509"/>
      <c r="D99" s="1510"/>
      <c r="E99" s="1505"/>
      <c r="F99" s="1505"/>
      <c r="G99" s="1505"/>
      <c r="H99" s="1506"/>
      <c r="I99" t="str">
        <f t="shared" si="1"/>
        <v/>
      </c>
    </row>
    <row r="100" spans="1:9" ht="34.5" customHeight="1">
      <c r="A100" s="1507">
        <v>29</v>
      </c>
      <c r="B100" s="1508" t="s">
        <v>589</v>
      </c>
      <c r="C100" s="1509" t="s">
        <v>590</v>
      </c>
      <c r="D100" s="1510" t="s">
        <v>591</v>
      </c>
      <c r="E100" s="1505">
        <v>5.2949999999999999</v>
      </c>
      <c r="F100" s="1505" t="s">
        <v>60</v>
      </c>
      <c r="G100" s="1505" t="s">
        <v>2555</v>
      </c>
      <c r="H100" s="1525">
        <v>1.7</v>
      </c>
      <c r="I100" t="str">
        <f t="shared" si="1"/>
        <v/>
      </c>
    </row>
    <row r="101" spans="1:9" ht="34.5" customHeight="1">
      <c r="A101" s="1507"/>
      <c r="B101" s="1508"/>
      <c r="C101" s="1509"/>
      <c r="D101" s="1510"/>
      <c r="E101" s="1505"/>
      <c r="F101" s="1505"/>
      <c r="G101" s="1505"/>
      <c r="H101" s="1525"/>
      <c r="I101" t="str">
        <f t="shared" si="1"/>
        <v/>
      </c>
    </row>
    <row r="102" spans="1:9" ht="34.5" customHeight="1">
      <c r="A102" s="1507">
        <v>30</v>
      </c>
      <c r="B102" s="1508" t="s">
        <v>592</v>
      </c>
      <c r="C102" s="1509" t="s">
        <v>593</v>
      </c>
      <c r="D102" s="1510" t="s">
        <v>594</v>
      </c>
      <c r="E102" s="1505">
        <v>19.600999999999999</v>
      </c>
      <c r="F102" s="1505" t="s">
        <v>2555</v>
      </c>
      <c r="G102" s="1505" t="s">
        <v>489</v>
      </c>
      <c r="H102" s="1525">
        <v>14.7</v>
      </c>
      <c r="I102" t="str">
        <f t="shared" si="1"/>
        <v/>
      </c>
    </row>
    <row r="103" spans="1:9" ht="34.5" customHeight="1">
      <c r="A103" s="1507"/>
      <c r="B103" s="1508"/>
      <c r="C103" s="1509"/>
      <c r="D103" s="1510"/>
      <c r="E103" s="1505"/>
      <c r="F103" s="1505"/>
      <c r="G103" s="1505"/>
      <c r="H103" s="1525"/>
      <c r="I103" t="str">
        <f t="shared" si="1"/>
        <v/>
      </c>
    </row>
    <row r="104" spans="1:9" ht="34.5" customHeight="1">
      <c r="A104" s="1507">
        <v>31</v>
      </c>
      <c r="B104" s="1508" t="s">
        <v>595</v>
      </c>
      <c r="C104" s="1509" t="s">
        <v>596</v>
      </c>
      <c r="D104" s="1510" t="s">
        <v>597</v>
      </c>
      <c r="E104" s="1505">
        <v>32.274999999999999</v>
      </c>
      <c r="F104" s="1505" t="s">
        <v>60</v>
      </c>
      <c r="G104" s="1505" t="s">
        <v>598</v>
      </c>
      <c r="H104" s="1525">
        <v>4.3</v>
      </c>
      <c r="I104" t="str">
        <f t="shared" si="1"/>
        <v/>
      </c>
    </row>
    <row r="105" spans="1:9" ht="34.5" customHeight="1">
      <c r="A105" s="1507"/>
      <c r="B105" s="1508"/>
      <c r="C105" s="1509"/>
      <c r="D105" s="1510"/>
      <c r="E105" s="1505"/>
      <c r="F105" s="1505"/>
      <c r="G105" s="1505"/>
      <c r="H105" s="1525"/>
      <c r="I105" t="str">
        <f t="shared" si="1"/>
        <v/>
      </c>
    </row>
    <row r="106" spans="1:9" ht="34.5" customHeight="1">
      <c r="A106" s="1507">
        <v>32</v>
      </c>
      <c r="B106" s="1508" t="s">
        <v>599</v>
      </c>
      <c r="C106" s="1509" t="s">
        <v>600</v>
      </c>
      <c r="D106" s="1510" t="s">
        <v>601</v>
      </c>
      <c r="E106" s="1505">
        <v>31.31</v>
      </c>
      <c r="F106" s="1505" t="s">
        <v>602</v>
      </c>
      <c r="G106" s="1505" t="s">
        <v>2560</v>
      </c>
      <c r="H106" s="1525">
        <v>14.625</v>
      </c>
      <c r="I106" t="str">
        <f t="shared" si="1"/>
        <v/>
      </c>
    </row>
    <row r="107" spans="1:9" ht="34.5" customHeight="1">
      <c r="A107" s="1507"/>
      <c r="B107" s="1508"/>
      <c r="C107" s="1509"/>
      <c r="D107" s="1510"/>
      <c r="E107" s="1505"/>
      <c r="F107" s="1505"/>
      <c r="G107" s="1505"/>
      <c r="H107" s="1525"/>
      <c r="I107" t="str">
        <f t="shared" si="1"/>
        <v/>
      </c>
    </row>
    <row r="108" spans="1:9" ht="8.25" customHeight="1">
      <c r="A108" s="1511">
        <v>33</v>
      </c>
      <c r="B108" s="1514">
        <v>805515</v>
      </c>
      <c r="C108" s="1517" t="s">
        <v>603</v>
      </c>
      <c r="D108" s="1520" t="s">
        <v>604</v>
      </c>
      <c r="E108" s="1505">
        <v>66.352999999999994</v>
      </c>
      <c r="F108" s="1505" t="s">
        <v>60</v>
      </c>
      <c r="G108" s="1505" t="s">
        <v>612</v>
      </c>
      <c r="H108" s="1525">
        <v>49.7</v>
      </c>
      <c r="I108" t="str">
        <f t="shared" si="1"/>
        <v/>
      </c>
    </row>
    <row r="109" spans="1:9" ht="8.25" customHeight="1">
      <c r="A109" s="1512"/>
      <c r="B109" s="1515"/>
      <c r="C109" s="1518"/>
      <c r="D109" s="1521"/>
      <c r="E109" s="1505"/>
      <c r="F109" s="1505"/>
      <c r="G109" s="1505"/>
      <c r="H109" s="1525"/>
      <c r="I109" t="str">
        <f t="shared" si="1"/>
        <v/>
      </c>
    </row>
    <row r="110" spans="1:9" ht="8.25" customHeight="1">
      <c r="A110" s="1512"/>
      <c r="B110" s="1515"/>
      <c r="C110" s="1518"/>
      <c r="D110" s="1521"/>
      <c r="E110" s="1505"/>
      <c r="F110" s="1505"/>
      <c r="G110" s="1505"/>
      <c r="H110" s="1525"/>
      <c r="I110" t="str">
        <f t="shared" si="1"/>
        <v/>
      </c>
    </row>
    <row r="111" spans="1:9" ht="8.25" customHeight="1">
      <c r="A111" s="1512"/>
      <c r="B111" s="1515"/>
      <c r="C111" s="1518"/>
      <c r="D111" s="1521"/>
      <c r="E111" s="1505"/>
      <c r="F111" s="1505"/>
      <c r="G111" s="1505"/>
      <c r="H111" s="1525"/>
      <c r="I111" t="str">
        <f t="shared" si="1"/>
        <v/>
      </c>
    </row>
    <row r="112" spans="1:9" ht="8.25" customHeight="1">
      <c r="A112" s="1512"/>
      <c r="B112" s="1515"/>
      <c r="C112" s="1518"/>
      <c r="D112" s="1521"/>
      <c r="E112" s="1505"/>
      <c r="F112" s="1505"/>
      <c r="G112" s="1505"/>
      <c r="H112" s="1525"/>
      <c r="I112" t="str">
        <f t="shared" si="1"/>
        <v/>
      </c>
    </row>
    <row r="113" spans="1:9" ht="8.25" customHeight="1">
      <c r="A113" s="1512"/>
      <c r="B113" s="1515"/>
      <c r="C113" s="1518"/>
      <c r="D113" s="1521"/>
      <c r="E113" s="1505"/>
      <c r="F113" s="1505"/>
      <c r="G113" s="1505"/>
      <c r="H113" s="1525"/>
      <c r="I113" t="str">
        <f t="shared" si="1"/>
        <v/>
      </c>
    </row>
    <row r="114" spans="1:9" ht="8.25" customHeight="1">
      <c r="A114" s="1512"/>
      <c r="B114" s="1515"/>
      <c r="C114" s="1518"/>
      <c r="D114" s="1521"/>
      <c r="E114" s="1505"/>
      <c r="F114" s="1505"/>
      <c r="G114" s="1505"/>
      <c r="H114" s="1525"/>
      <c r="I114" t="str">
        <f t="shared" si="1"/>
        <v/>
      </c>
    </row>
    <row r="115" spans="1:9" ht="8.25" customHeight="1">
      <c r="A115" s="1513"/>
      <c r="B115" s="1516"/>
      <c r="C115" s="1519"/>
      <c r="D115" s="1522"/>
      <c r="E115" s="1505"/>
      <c r="F115" s="1505"/>
      <c r="G115" s="1505"/>
      <c r="H115" s="1525"/>
      <c r="I115" t="str">
        <f t="shared" si="1"/>
        <v/>
      </c>
    </row>
    <row r="116" spans="1:9" ht="7.5" customHeight="1">
      <c r="A116" s="1511">
        <v>34</v>
      </c>
      <c r="B116" s="1514">
        <v>805748</v>
      </c>
      <c r="C116" s="1517" t="s">
        <v>613</v>
      </c>
      <c r="D116" s="1520" t="s">
        <v>614</v>
      </c>
      <c r="E116" s="1505">
        <v>5.6139999999999999</v>
      </c>
      <c r="F116" s="1505" t="s">
        <v>60</v>
      </c>
      <c r="G116" s="1505" t="s">
        <v>617</v>
      </c>
      <c r="H116" s="1506">
        <v>3.3</v>
      </c>
      <c r="I116" t="str">
        <f t="shared" si="1"/>
        <v/>
      </c>
    </row>
    <row r="117" spans="1:9" ht="7.5" customHeight="1">
      <c r="A117" s="1512"/>
      <c r="B117" s="1515"/>
      <c r="C117" s="1518"/>
      <c r="D117" s="1521"/>
      <c r="E117" s="1505"/>
      <c r="F117" s="1505"/>
      <c r="G117" s="1505"/>
      <c r="H117" s="1506"/>
      <c r="I117" t="str">
        <f t="shared" si="1"/>
        <v/>
      </c>
    </row>
    <row r="118" spans="1:9" ht="7.5" customHeight="1">
      <c r="A118" s="1512"/>
      <c r="B118" s="1515"/>
      <c r="C118" s="1518"/>
      <c r="D118" s="1521"/>
      <c r="E118" s="1505"/>
      <c r="F118" s="1505"/>
      <c r="G118" s="1505"/>
      <c r="H118" s="1506"/>
      <c r="I118" t="str">
        <f t="shared" si="1"/>
        <v/>
      </c>
    </row>
    <row r="119" spans="1:9" ht="7.5" customHeight="1">
      <c r="A119" s="1512"/>
      <c r="B119" s="1515"/>
      <c r="C119" s="1518"/>
      <c r="D119" s="1521"/>
      <c r="E119" s="1505"/>
      <c r="F119" s="1505"/>
      <c r="G119" s="1505"/>
      <c r="H119" s="1506"/>
      <c r="I119" t="str">
        <f t="shared" si="1"/>
        <v/>
      </c>
    </row>
    <row r="120" spans="1:9" ht="7.5" customHeight="1">
      <c r="A120" s="1512"/>
      <c r="B120" s="1515"/>
      <c r="C120" s="1518"/>
      <c r="D120" s="1521"/>
      <c r="E120" s="1505"/>
      <c r="F120" s="1505"/>
      <c r="G120" s="1505"/>
      <c r="H120" s="1506"/>
      <c r="I120" t="str">
        <f t="shared" si="1"/>
        <v/>
      </c>
    </row>
    <row r="121" spans="1:9" ht="7.5" customHeight="1">
      <c r="A121" s="1513"/>
      <c r="B121" s="1516"/>
      <c r="C121" s="1519"/>
      <c r="D121" s="1522"/>
      <c r="E121" s="1505"/>
      <c r="F121" s="1505"/>
      <c r="G121" s="1505"/>
      <c r="H121" s="1506"/>
      <c r="I121" t="str">
        <f t="shared" si="1"/>
        <v/>
      </c>
    </row>
    <row r="122" spans="1:9" ht="15" customHeight="1">
      <c r="A122" s="1511">
        <v>35</v>
      </c>
      <c r="B122" s="1514">
        <v>805425</v>
      </c>
      <c r="C122" s="1509" t="s">
        <v>621</v>
      </c>
      <c r="D122" s="1520" t="s">
        <v>622</v>
      </c>
      <c r="E122" s="1505">
        <v>27.84</v>
      </c>
      <c r="F122" s="1505" t="s">
        <v>2584</v>
      </c>
      <c r="G122" s="1505" t="s">
        <v>2585</v>
      </c>
      <c r="H122" s="1525">
        <v>24.692</v>
      </c>
      <c r="I122" t="str">
        <f t="shared" si="1"/>
        <v/>
      </c>
    </row>
    <row r="123" spans="1:9" ht="15" customHeight="1">
      <c r="A123" s="1512"/>
      <c r="B123" s="1515"/>
      <c r="C123" s="1509"/>
      <c r="D123" s="1521"/>
      <c r="E123" s="1505"/>
      <c r="F123" s="1505"/>
      <c r="G123" s="1505"/>
      <c r="H123" s="1525"/>
      <c r="I123" t="str">
        <f t="shared" si="1"/>
        <v/>
      </c>
    </row>
    <row r="124" spans="1:9" ht="15" customHeight="1">
      <c r="A124" s="1512"/>
      <c r="B124" s="1515"/>
      <c r="C124" s="1509"/>
      <c r="D124" s="1521"/>
      <c r="E124" s="1505"/>
      <c r="F124" s="1505"/>
      <c r="G124" s="1505"/>
      <c r="H124" s="1525"/>
      <c r="I124" t="str">
        <f t="shared" si="1"/>
        <v/>
      </c>
    </row>
    <row r="125" spans="1:9" ht="15" customHeight="1">
      <c r="A125" s="1512"/>
      <c r="B125" s="1515"/>
      <c r="C125" s="1509"/>
      <c r="D125" s="1521"/>
      <c r="E125" s="1505"/>
      <c r="F125" s="1505"/>
      <c r="G125" s="1505"/>
      <c r="H125" s="1525"/>
      <c r="I125" t="str">
        <f t="shared" si="1"/>
        <v/>
      </c>
    </row>
    <row r="126" spans="1:9" ht="24" customHeight="1">
      <c r="A126" s="1511">
        <v>36</v>
      </c>
      <c r="B126" s="1514" t="s">
        <v>628</v>
      </c>
      <c r="C126" s="1517" t="s">
        <v>629</v>
      </c>
      <c r="D126" s="1520" t="s">
        <v>630</v>
      </c>
      <c r="E126" s="1505">
        <v>22.71</v>
      </c>
      <c r="F126" s="1505" t="s">
        <v>631</v>
      </c>
      <c r="G126" s="1505" t="s">
        <v>632</v>
      </c>
      <c r="H126" s="1506">
        <v>7.53</v>
      </c>
      <c r="I126" t="str">
        <f t="shared" si="1"/>
        <v/>
      </c>
    </row>
    <row r="127" spans="1:9" ht="24" customHeight="1">
      <c r="A127" s="1512"/>
      <c r="B127" s="1515"/>
      <c r="C127" s="1518"/>
      <c r="D127" s="1521"/>
      <c r="E127" s="1505"/>
      <c r="F127" s="1505"/>
      <c r="G127" s="1505"/>
      <c r="H127" s="1506"/>
      <c r="I127" t="str">
        <f t="shared" si="1"/>
        <v/>
      </c>
    </row>
    <row r="128" spans="1:9" ht="24" customHeight="1">
      <c r="A128" s="1513"/>
      <c r="B128" s="1516"/>
      <c r="C128" s="1519"/>
      <c r="D128" s="1522"/>
      <c r="E128" s="1505"/>
      <c r="F128" s="1505"/>
      <c r="G128" s="1505"/>
      <c r="H128" s="1506"/>
      <c r="I128" t="str">
        <f t="shared" si="1"/>
        <v/>
      </c>
    </row>
    <row r="129" spans="1:9" ht="15" customHeight="1">
      <c r="A129" s="1511">
        <v>37</v>
      </c>
      <c r="B129" s="1514" t="s">
        <v>633</v>
      </c>
      <c r="C129" s="1517" t="s">
        <v>634</v>
      </c>
      <c r="D129" s="1520" t="s">
        <v>635</v>
      </c>
      <c r="E129" s="1505">
        <v>39.97</v>
      </c>
      <c r="F129" s="1505" t="s">
        <v>60</v>
      </c>
      <c r="G129" s="1505" t="s">
        <v>2586</v>
      </c>
      <c r="H129" s="1525">
        <v>20</v>
      </c>
      <c r="I129" t="str">
        <f t="shared" si="1"/>
        <v/>
      </c>
    </row>
    <row r="130" spans="1:9" ht="15" customHeight="1">
      <c r="A130" s="1512"/>
      <c r="B130" s="1515"/>
      <c r="C130" s="1518"/>
      <c r="D130" s="1521"/>
      <c r="E130" s="1505"/>
      <c r="F130" s="1505"/>
      <c r="G130" s="1505"/>
      <c r="H130" s="1525"/>
      <c r="I130" t="str">
        <f t="shared" si="1"/>
        <v/>
      </c>
    </row>
    <row r="131" spans="1:9" ht="15" customHeight="1">
      <c r="A131" s="1512"/>
      <c r="B131" s="1515"/>
      <c r="C131" s="1518"/>
      <c r="D131" s="1521"/>
      <c r="E131" s="1505"/>
      <c r="F131" s="1505"/>
      <c r="G131" s="1505"/>
      <c r="H131" s="1525"/>
      <c r="I131" t="str">
        <f t="shared" si="1"/>
        <v/>
      </c>
    </row>
    <row r="132" spans="1:9" ht="15" customHeight="1">
      <c r="A132" s="1512"/>
      <c r="B132" s="1515"/>
      <c r="C132" s="1518"/>
      <c r="D132" s="1521"/>
      <c r="E132" s="1505"/>
      <c r="F132" s="1505"/>
      <c r="G132" s="1505"/>
      <c r="H132" s="1525"/>
      <c r="I132" t="str">
        <f t="shared" si="1"/>
        <v/>
      </c>
    </row>
    <row r="133" spans="1:9" ht="15" customHeight="1">
      <c r="A133" s="1513"/>
      <c r="B133" s="1516"/>
      <c r="C133" s="1519"/>
      <c r="D133" s="1522"/>
      <c r="E133" s="1505"/>
      <c r="F133" s="1505"/>
      <c r="G133" s="1505"/>
      <c r="H133" s="1525"/>
      <c r="I133" t="str">
        <f t="shared" si="1"/>
        <v/>
      </c>
    </row>
    <row r="134" spans="1:9" ht="15" customHeight="1">
      <c r="A134" s="1511">
        <v>38</v>
      </c>
      <c r="B134" s="1514" t="s">
        <v>638</v>
      </c>
      <c r="C134" s="1517" t="s">
        <v>639</v>
      </c>
      <c r="D134" s="1520" t="s">
        <v>640</v>
      </c>
      <c r="E134" s="1505">
        <v>16.088999999999999</v>
      </c>
      <c r="F134" s="1505" t="s">
        <v>60</v>
      </c>
      <c r="G134" s="1505" t="s">
        <v>641</v>
      </c>
      <c r="H134" s="1525">
        <v>16.088999999999999</v>
      </c>
      <c r="I134" t="str">
        <f t="shared" si="1"/>
        <v/>
      </c>
    </row>
    <row r="135" spans="1:9" ht="15" customHeight="1">
      <c r="A135" s="1512"/>
      <c r="B135" s="1515"/>
      <c r="C135" s="1518"/>
      <c r="D135" s="1521"/>
      <c r="E135" s="1505"/>
      <c r="F135" s="1505"/>
      <c r="G135" s="1505"/>
      <c r="H135" s="1525"/>
      <c r="I135" t="str">
        <f t="shared" si="1"/>
        <v/>
      </c>
    </row>
    <row r="136" spans="1:9" ht="15" customHeight="1">
      <c r="A136" s="1512"/>
      <c r="B136" s="1515"/>
      <c r="C136" s="1518"/>
      <c r="D136" s="1521"/>
      <c r="E136" s="1505"/>
      <c r="F136" s="1505"/>
      <c r="G136" s="1505"/>
      <c r="H136" s="1525"/>
      <c r="I136" t="str">
        <f t="shared" ref="I136:I199" si="2">IF(H135&gt;E135,9999,"")</f>
        <v/>
      </c>
    </row>
    <row r="137" spans="1:9" ht="15" customHeight="1">
      <c r="A137" s="1512"/>
      <c r="B137" s="1515"/>
      <c r="C137" s="1518"/>
      <c r="D137" s="1521"/>
      <c r="E137" s="1505"/>
      <c r="F137" s="1505"/>
      <c r="G137" s="1505"/>
      <c r="H137" s="1525"/>
      <c r="I137" t="str">
        <f t="shared" si="2"/>
        <v/>
      </c>
    </row>
    <row r="138" spans="1:9" ht="15" customHeight="1">
      <c r="A138" s="1512"/>
      <c r="B138" s="1515"/>
      <c r="C138" s="1518"/>
      <c r="D138" s="1521"/>
      <c r="E138" s="1505"/>
      <c r="F138" s="1505"/>
      <c r="G138" s="1505"/>
      <c r="H138" s="1525"/>
      <c r="I138" t="str">
        <f t="shared" si="2"/>
        <v/>
      </c>
    </row>
    <row r="139" spans="1:9" ht="15" customHeight="1">
      <c r="A139" s="1513"/>
      <c r="B139" s="1516"/>
      <c r="C139" s="1519"/>
      <c r="D139" s="1522"/>
      <c r="E139" s="1505"/>
      <c r="F139" s="1505"/>
      <c r="G139" s="1505"/>
      <c r="H139" s="1525"/>
      <c r="I139" t="str">
        <f t="shared" si="2"/>
        <v/>
      </c>
    </row>
    <row r="140" spans="1:9" ht="22.5" customHeight="1">
      <c r="A140" s="1511">
        <v>39</v>
      </c>
      <c r="B140" s="1514" t="s">
        <v>642</v>
      </c>
      <c r="C140" s="1517" t="s">
        <v>643</v>
      </c>
      <c r="D140" s="1520" t="s">
        <v>644</v>
      </c>
      <c r="E140" s="1505">
        <v>31.15</v>
      </c>
      <c r="F140" s="1505" t="s">
        <v>60</v>
      </c>
      <c r="G140" s="1505" t="s">
        <v>557</v>
      </c>
      <c r="H140" s="1506">
        <v>5.33</v>
      </c>
      <c r="I140" t="str">
        <f t="shared" si="2"/>
        <v/>
      </c>
    </row>
    <row r="141" spans="1:9" ht="22.5" customHeight="1">
      <c r="A141" s="1512"/>
      <c r="B141" s="1515"/>
      <c r="C141" s="1518"/>
      <c r="D141" s="1521"/>
      <c r="E141" s="1505"/>
      <c r="F141" s="1505"/>
      <c r="G141" s="1505"/>
      <c r="H141" s="1506"/>
      <c r="I141" t="str">
        <f t="shared" si="2"/>
        <v/>
      </c>
    </row>
    <row r="142" spans="1:9" ht="22.5" customHeight="1">
      <c r="A142" s="1512"/>
      <c r="B142" s="1515"/>
      <c r="C142" s="1518"/>
      <c r="D142" s="1521"/>
      <c r="E142" s="1505"/>
      <c r="F142" s="1505"/>
      <c r="G142" s="1505"/>
      <c r="H142" s="1506"/>
      <c r="I142" t="str">
        <f t="shared" si="2"/>
        <v/>
      </c>
    </row>
    <row r="143" spans="1:9" ht="22.5" customHeight="1">
      <c r="A143" s="1513"/>
      <c r="B143" s="1516"/>
      <c r="C143" s="1519"/>
      <c r="D143" s="1522"/>
      <c r="E143" s="1505"/>
      <c r="F143" s="1505"/>
      <c r="G143" s="1505"/>
      <c r="H143" s="1506"/>
      <c r="I143" t="str">
        <f t="shared" si="2"/>
        <v/>
      </c>
    </row>
    <row r="144" spans="1:9" ht="15" customHeight="1">
      <c r="A144" s="1511">
        <v>40</v>
      </c>
      <c r="B144" s="1514" t="s">
        <v>645</v>
      </c>
      <c r="C144" s="1517" t="s">
        <v>646</v>
      </c>
      <c r="D144" s="1520" t="s">
        <v>647</v>
      </c>
      <c r="E144" s="1505">
        <v>20.785</v>
      </c>
      <c r="F144" s="1505" t="s">
        <v>648</v>
      </c>
      <c r="G144" s="1505" t="s">
        <v>2587</v>
      </c>
      <c r="H144" s="1506">
        <v>17.3</v>
      </c>
      <c r="I144" t="str">
        <f t="shared" si="2"/>
        <v/>
      </c>
    </row>
    <row r="145" spans="1:9" ht="15" customHeight="1">
      <c r="A145" s="1512"/>
      <c r="B145" s="1515"/>
      <c r="C145" s="1518"/>
      <c r="D145" s="1521"/>
      <c r="E145" s="1505"/>
      <c r="F145" s="1505"/>
      <c r="G145" s="1505"/>
      <c r="H145" s="1506"/>
      <c r="I145" t="str">
        <f t="shared" si="2"/>
        <v/>
      </c>
    </row>
    <row r="146" spans="1:9" ht="25.5" customHeight="1">
      <c r="A146" s="1513"/>
      <c r="B146" s="1516"/>
      <c r="C146" s="1519"/>
      <c r="D146" s="1522"/>
      <c r="E146" s="1505"/>
      <c r="F146" s="1505"/>
      <c r="G146" s="1505"/>
      <c r="H146" s="1506"/>
      <c r="I146" t="str">
        <f t="shared" si="2"/>
        <v/>
      </c>
    </row>
    <row r="147" spans="1:9" ht="15" customHeight="1">
      <c r="A147" s="1507">
        <v>41</v>
      </c>
      <c r="B147" s="1508" t="s">
        <v>651</v>
      </c>
      <c r="C147" s="1509" t="s">
        <v>652</v>
      </c>
      <c r="D147" s="1510" t="s">
        <v>653</v>
      </c>
      <c r="E147" s="1505">
        <v>37.15</v>
      </c>
      <c r="F147" s="1505" t="s">
        <v>60</v>
      </c>
      <c r="G147" s="1505" t="s">
        <v>637</v>
      </c>
      <c r="H147" s="1506">
        <v>0</v>
      </c>
      <c r="I147" t="str">
        <f t="shared" si="2"/>
        <v/>
      </c>
    </row>
    <row r="148" spans="1:9" ht="15" customHeight="1">
      <c r="A148" s="1507"/>
      <c r="B148" s="1508"/>
      <c r="C148" s="1509"/>
      <c r="D148" s="1510"/>
      <c r="E148" s="1505"/>
      <c r="F148" s="1505"/>
      <c r="G148" s="1505"/>
      <c r="H148" s="1506"/>
      <c r="I148" t="str">
        <f t="shared" si="2"/>
        <v/>
      </c>
    </row>
    <row r="149" spans="1:9" ht="31.5" customHeight="1">
      <c r="A149" s="1507">
        <v>42</v>
      </c>
      <c r="B149" s="1508" t="s">
        <v>654</v>
      </c>
      <c r="C149" s="1509" t="s">
        <v>655</v>
      </c>
      <c r="D149" s="1510" t="s">
        <v>656</v>
      </c>
      <c r="E149" s="1505">
        <v>16.893999999999998</v>
      </c>
      <c r="F149" s="1505" t="s">
        <v>60</v>
      </c>
      <c r="G149" s="1505" t="s">
        <v>2588</v>
      </c>
      <c r="H149" s="1506">
        <v>0</v>
      </c>
      <c r="I149" t="str">
        <f t="shared" si="2"/>
        <v/>
      </c>
    </row>
    <row r="150" spans="1:9" ht="31.5" customHeight="1">
      <c r="A150" s="1507"/>
      <c r="B150" s="1508"/>
      <c r="C150" s="1524"/>
      <c r="D150" s="1510"/>
      <c r="E150" s="1505"/>
      <c r="F150" s="1505"/>
      <c r="G150" s="1505"/>
      <c r="H150" s="1506"/>
      <c r="I150" t="str">
        <f t="shared" si="2"/>
        <v/>
      </c>
    </row>
    <row r="151" spans="1:9" ht="21" customHeight="1">
      <c r="A151" s="1507">
        <v>43</v>
      </c>
      <c r="B151" s="1508" t="s">
        <v>657</v>
      </c>
      <c r="C151" s="1509" t="s">
        <v>658</v>
      </c>
      <c r="D151" s="1510" t="s">
        <v>659</v>
      </c>
      <c r="E151" s="1505">
        <v>41.095999999999997</v>
      </c>
      <c r="F151" s="1505" t="s">
        <v>60</v>
      </c>
      <c r="G151" s="1505" t="s">
        <v>489</v>
      </c>
      <c r="H151" s="1506">
        <v>14.09</v>
      </c>
      <c r="I151" t="str">
        <f t="shared" si="2"/>
        <v/>
      </c>
    </row>
    <row r="152" spans="1:9" ht="15" customHeight="1">
      <c r="A152" s="1507"/>
      <c r="B152" s="1508"/>
      <c r="C152" s="1509"/>
      <c r="D152" s="1510"/>
      <c r="E152" s="1505"/>
      <c r="F152" s="1505"/>
      <c r="G152" s="1505"/>
      <c r="H152" s="1506"/>
      <c r="I152" t="str">
        <f t="shared" si="2"/>
        <v/>
      </c>
    </row>
    <row r="153" spans="1:9" ht="15" customHeight="1">
      <c r="A153" s="1507"/>
      <c r="B153" s="1508"/>
      <c r="C153" s="1509"/>
      <c r="D153" s="1510"/>
      <c r="E153" s="1505"/>
      <c r="F153" s="1505"/>
      <c r="G153" s="1505"/>
      <c r="H153" s="1506"/>
      <c r="I153" t="str">
        <f t="shared" si="2"/>
        <v/>
      </c>
    </row>
    <row r="154" spans="1:9" ht="15" customHeight="1">
      <c r="A154" s="1507"/>
      <c r="B154" s="1508"/>
      <c r="C154" s="1509"/>
      <c r="D154" s="1510"/>
      <c r="E154" s="1505"/>
      <c r="F154" s="1505"/>
      <c r="G154" s="1505"/>
      <c r="H154" s="1506"/>
      <c r="I154" t="str">
        <f t="shared" si="2"/>
        <v/>
      </c>
    </row>
    <row r="155" spans="1:9" ht="15" customHeight="1">
      <c r="A155" s="1511">
        <v>44</v>
      </c>
      <c r="B155" s="1514" t="s">
        <v>660</v>
      </c>
      <c r="C155" s="1517" t="s">
        <v>661</v>
      </c>
      <c r="D155" s="1520" t="s">
        <v>662</v>
      </c>
      <c r="E155" s="1505">
        <v>32.526000000000003</v>
      </c>
      <c r="F155" s="1505" t="s">
        <v>663</v>
      </c>
      <c r="G155" s="1505" t="s">
        <v>2583</v>
      </c>
      <c r="H155" s="1506">
        <v>13.299999999999999</v>
      </c>
      <c r="I155" t="str">
        <f t="shared" si="2"/>
        <v/>
      </c>
    </row>
    <row r="156" spans="1:9" ht="15" customHeight="1">
      <c r="A156" s="1512"/>
      <c r="B156" s="1515"/>
      <c r="C156" s="1518"/>
      <c r="D156" s="1521"/>
      <c r="E156" s="1505"/>
      <c r="F156" s="1505"/>
      <c r="G156" s="1505"/>
      <c r="H156" s="1506"/>
      <c r="I156" t="str">
        <f t="shared" si="2"/>
        <v/>
      </c>
    </row>
    <row r="157" spans="1:9" ht="15" customHeight="1">
      <c r="A157" s="1513"/>
      <c r="B157" s="1516"/>
      <c r="C157" s="1519"/>
      <c r="D157" s="1522"/>
      <c r="E157" s="1505"/>
      <c r="F157" s="1505"/>
      <c r="G157" s="1505"/>
      <c r="H157" s="1506"/>
      <c r="I157" t="str">
        <f t="shared" si="2"/>
        <v/>
      </c>
    </row>
    <row r="158" spans="1:9" ht="15" customHeight="1">
      <c r="A158" s="1507">
        <v>45</v>
      </c>
      <c r="B158" s="1508" t="s">
        <v>666</v>
      </c>
      <c r="C158" s="1509" t="s">
        <v>667</v>
      </c>
      <c r="D158" s="1510" t="s">
        <v>668</v>
      </c>
      <c r="E158" s="1505">
        <v>16.295999999999999</v>
      </c>
      <c r="F158" s="1505" t="s">
        <v>2589</v>
      </c>
      <c r="G158" s="1505" t="s">
        <v>669</v>
      </c>
      <c r="H158" s="1506">
        <v>4.12</v>
      </c>
      <c r="I158" t="str">
        <f t="shared" si="2"/>
        <v/>
      </c>
    </row>
    <row r="159" spans="1:9" ht="15" customHeight="1">
      <c r="A159" s="1507"/>
      <c r="B159" s="1508"/>
      <c r="C159" s="1509"/>
      <c r="D159" s="1510"/>
      <c r="E159" s="1505"/>
      <c r="F159" s="1505"/>
      <c r="G159" s="1505"/>
      <c r="H159" s="1506"/>
      <c r="I159" t="str">
        <f t="shared" si="2"/>
        <v/>
      </c>
    </row>
    <row r="160" spans="1:9" ht="15" customHeight="1">
      <c r="A160" s="1511">
        <v>46</v>
      </c>
      <c r="B160" s="1514" t="s">
        <v>670</v>
      </c>
      <c r="C160" s="1517" t="s">
        <v>671</v>
      </c>
      <c r="D160" s="1520" t="s">
        <v>672</v>
      </c>
      <c r="E160" s="1505">
        <v>17.062000000000001</v>
      </c>
      <c r="F160" s="1505" t="s">
        <v>2590</v>
      </c>
      <c r="G160" s="1505" t="s">
        <v>675</v>
      </c>
      <c r="H160" s="1506">
        <v>11.6</v>
      </c>
      <c r="I160" t="str">
        <f t="shared" si="2"/>
        <v/>
      </c>
    </row>
    <row r="161" spans="1:9" ht="15" customHeight="1">
      <c r="A161" s="1512"/>
      <c r="B161" s="1515"/>
      <c r="C161" s="1518"/>
      <c r="D161" s="1521"/>
      <c r="E161" s="1505"/>
      <c r="F161" s="1505"/>
      <c r="G161" s="1505"/>
      <c r="H161" s="1506"/>
      <c r="I161" t="str">
        <f t="shared" si="2"/>
        <v/>
      </c>
    </row>
    <row r="162" spans="1:9" ht="15" customHeight="1">
      <c r="A162" s="1513"/>
      <c r="B162" s="1516"/>
      <c r="C162" s="1519"/>
      <c r="D162" s="1522"/>
      <c r="E162" s="1505"/>
      <c r="F162" s="1505"/>
      <c r="G162" s="1505"/>
      <c r="H162" s="1506"/>
      <c r="I162" t="str">
        <f t="shared" si="2"/>
        <v/>
      </c>
    </row>
    <row r="163" spans="1:9" s="426" customFormat="1" ht="19.5" customHeight="1">
      <c r="A163" s="1507">
        <v>47</v>
      </c>
      <c r="B163" s="1508">
        <v>805795</v>
      </c>
      <c r="C163" s="1509" t="s">
        <v>676</v>
      </c>
      <c r="D163" s="1509" t="s">
        <v>677</v>
      </c>
      <c r="E163" s="1505">
        <v>16.161999999999999</v>
      </c>
      <c r="F163" s="1505" t="s">
        <v>60</v>
      </c>
      <c r="G163" s="1505" t="s">
        <v>681</v>
      </c>
      <c r="H163" s="1523">
        <v>16.161999999999999</v>
      </c>
      <c r="I163" s="426" t="str">
        <f t="shared" si="2"/>
        <v/>
      </c>
    </row>
    <row r="164" spans="1:9" s="426" customFormat="1" ht="19.5" customHeight="1">
      <c r="A164" s="1507"/>
      <c r="B164" s="1508"/>
      <c r="C164" s="1509"/>
      <c r="D164" s="1509"/>
      <c r="E164" s="1505"/>
      <c r="F164" s="1505"/>
      <c r="G164" s="1505"/>
      <c r="H164" s="1523"/>
      <c r="I164" s="426" t="str">
        <f t="shared" si="2"/>
        <v/>
      </c>
    </row>
    <row r="165" spans="1:9" s="426" customFormat="1" ht="19.5" customHeight="1">
      <c r="A165" s="1507"/>
      <c r="B165" s="1508"/>
      <c r="C165" s="1509"/>
      <c r="D165" s="1509"/>
      <c r="E165" s="1505"/>
      <c r="F165" s="1505"/>
      <c r="G165" s="1505"/>
      <c r="H165" s="1523"/>
      <c r="I165" s="426" t="str">
        <f t="shared" si="2"/>
        <v/>
      </c>
    </row>
    <row r="166" spans="1:9" s="426" customFormat="1" ht="19.5" customHeight="1">
      <c r="A166" s="1507"/>
      <c r="B166" s="1508"/>
      <c r="C166" s="1509"/>
      <c r="D166" s="1509"/>
      <c r="E166" s="1505"/>
      <c r="F166" s="1505"/>
      <c r="G166" s="1505"/>
      <c r="H166" s="1523"/>
      <c r="I166" s="426" t="str">
        <f t="shared" si="2"/>
        <v/>
      </c>
    </row>
    <row r="167" spans="1:9" s="426" customFormat="1" ht="19.5" customHeight="1">
      <c r="A167" s="1507"/>
      <c r="B167" s="1508"/>
      <c r="C167" s="1509"/>
      <c r="D167" s="1509"/>
      <c r="E167" s="1505"/>
      <c r="F167" s="1505"/>
      <c r="G167" s="1505"/>
      <c r="H167" s="1523"/>
      <c r="I167" s="426" t="str">
        <f t="shared" si="2"/>
        <v/>
      </c>
    </row>
    <row r="168" spans="1:9" ht="57.75" customHeight="1">
      <c r="A168" s="1507">
        <v>48</v>
      </c>
      <c r="B168" s="1508" t="s">
        <v>682</v>
      </c>
      <c r="C168" s="1509" t="s">
        <v>683</v>
      </c>
      <c r="D168" s="1510" t="s">
        <v>684</v>
      </c>
      <c r="E168" s="1505">
        <v>12.15</v>
      </c>
      <c r="F168" s="1505" t="s">
        <v>60</v>
      </c>
      <c r="G168" s="1505" t="s">
        <v>100</v>
      </c>
      <c r="H168" s="1506">
        <v>2.2000000000000002</v>
      </c>
      <c r="I168" t="str">
        <f t="shared" si="2"/>
        <v/>
      </c>
    </row>
    <row r="169" spans="1:9" ht="57.75" customHeight="1">
      <c r="A169" s="1507"/>
      <c r="B169" s="1508"/>
      <c r="C169" s="1509"/>
      <c r="D169" s="1510"/>
      <c r="E169" s="1505"/>
      <c r="F169" s="1505"/>
      <c r="G169" s="1505"/>
      <c r="H169" s="1506"/>
      <c r="I169" t="str">
        <f t="shared" si="2"/>
        <v/>
      </c>
    </row>
    <row r="170" spans="1:9" ht="7.5" customHeight="1">
      <c r="A170" s="1511">
        <v>49</v>
      </c>
      <c r="B170" s="1514">
        <v>805739</v>
      </c>
      <c r="C170" s="1517" t="s">
        <v>685</v>
      </c>
      <c r="D170" s="1520" t="s">
        <v>686</v>
      </c>
      <c r="E170" s="1505">
        <v>16.632999999999999</v>
      </c>
      <c r="F170" s="1505" t="s">
        <v>60</v>
      </c>
      <c r="G170" s="1505" t="s">
        <v>691</v>
      </c>
      <c r="H170" s="1506">
        <v>16</v>
      </c>
      <c r="I170" t="str">
        <f t="shared" si="2"/>
        <v/>
      </c>
    </row>
    <row r="171" spans="1:9" ht="7.5" customHeight="1">
      <c r="A171" s="1512"/>
      <c r="B171" s="1515"/>
      <c r="C171" s="1518"/>
      <c r="D171" s="1521"/>
      <c r="E171" s="1505"/>
      <c r="F171" s="1505"/>
      <c r="G171" s="1505"/>
      <c r="H171" s="1506"/>
      <c r="I171" t="str">
        <f t="shared" si="2"/>
        <v/>
      </c>
    </row>
    <row r="172" spans="1:9" ht="7.5" customHeight="1">
      <c r="A172" s="1512"/>
      <c r="B172" s="1515"/>
      <c r="C172" s="1518"/>
      <c r="D172" s="1521"/>
      <c r="E172" s="1505"/>
      <c r="F172" s="1505"/>
      <c r="G172" s="1505"/>
      <c r="H172" s="1506"/>
      <c r="I172" t="str">
        <f t="shared" si="2"/>
        <v/>
      </c>
    </row>
    <row r="173" spans="1:9" ht="7.5" customHeight="1">
      <c r="A173" s="1512"/>
      <c r="B173" s="1515"/>
      <c r="C173" s="1518"/>
      <c r="D173" s="1521"/>
      <c r="E173" s="1505"/>
      <c r="F173" s="1505"/>
      <c r="G173" s="1505"/>
      <c r="H173" s="1506"/>
      <c r="I173" t="str">
        <f t="shared" si="2"/>
        <v/>
      </c>
    </row>
    <row r="174" spans="1:9" ht="7.5" customHeight="1">
      <c r="A174" s="1512"/>
      <c r="B174" s="1515"/>
      <c r="C174" s="1518"/>
      <c r="D174" s="1521"/>
      <c r="E174" s="1505"/>
      <c r="F174" s="1505"/>
      <c r="G174" s="1505"/>
      <c r="H174" s="1506"/>
      <c r="I174" t="str">
        <f t="shared" si="2"/>
        <v/>
      </c>
    </row>
    <row r="175" spans="1:9" ht="7.5" customHeight="1">
      <c r="A175" s="1512"/>
      <c r="B175" s="1515"/>
      <c r="C175" s="1518"/>
      <c r="D175" s="1521"/>
      <c r="E175" s="1505"/>
      <c r="F175" s="1505"/>
      <c r="G175" s="1505"/>
      <c r="H175" s="1506"/>
      <c r="I175" t="str">
        <f t="shared" si="2"/>
        <v/>
      </c>
    </row>
    <row r="176" spans="1:9" ht="7.5" customHeight="1">
      <c r="A176" s="1512"/>
      <c r="B176" s="1515"/>
      <c r="C176" s="1518"/>
      <c r="D176" s="1521"/>
      <c r="E176" s="1505"/>
      <c r="F176" s="1505"/>
      <c r="G176" s="1505"/>
      <c r="H176" s="1506"/>
      <c r="I176" t="str">
        <f t="shared" si="2"/>
        <v/>
      </c>
    </row>
    <row r="177" spans="1:9" ht="7.5" customHeight="1">
      <c r="A177" s="1513"/>
      <c r="B177" s="1516"/>
      <c r="C177" s="1519"/>
      <c r="D177" s="1522"/>
      <c r="E177" s="1505"/>
      <c r="F177" s="1505"/>
      <c r="G177" s="1505"/>
      <c r="H177" s="1506"/>
      <c r="I177" t="str">
        <f t="shared" si="2"/>
        <v/>
      </c>
    </row>
    <row r="178" spans="1:9" ht="6" customHeight="1">
      <c r="A178" s="1511">
        <v>50</v>
      </c>
      <c r="B178" s="1514" t="s">
        <v>83</v>
      </c>
      <c r="C178" s="1517" t="s">
        <v>692</v>
      </c>
      <c r="D178" s="1520" t="s">
        <v>693</v>
      </c>
      <c r="E178" s="1505">
        <v>83.594999999999999</v>
      </c>
      <c r="F178" s="1505" t="s">
        <v>694</v>
      </c>
      <c r="G178" s="1505" t="s">
        <v>701</v>
      </c>
      <c r="H178" s="1523">
        <v>83.594999999999999</v>
      </c>
      <c r="I178" t="str">
        <f t="shared" si="2"/>
        <v/>
      </c>
    </row>
    <row r="179" spans="1:9" ht="6" customHeight="1">
      <c r="A179" s="1512"/>
      <c r="B179" s="1515"/>
      <c r="C179" s="1518"/>
      <c r="D179" s="1521"/>
      <c r="E179" s="1505"/>
      <c r="F179" s="1505"/>
      <c r="G179" s="1505"/>
      <c r="H179" s="1523"/>
      <c r="I179" t="str">
        <f t="shared" si="2"/>
        <v/>
      </c>
    </row>
    <row r="180" spans="1:9" ht="6" customHeight="1">
      <c r="A180" s="1512"/>
      <c r="B180" s="1515"/>
      <c r="C180" s="1518"/>
      <c r="D180" s="1521"/>
      <c r="E180" s="1505"/>
      <c r="F180" s="1505"/>
      <c r="G180" s="1505"/>
      <c r="H180" s="1523"/>
      <c r="I180" t="str">
        <f t="shared" si="2"/>
        <v/>
      </c>
    </row>
    <row r="181" spans="1:9" ht="6" customHeight="1">
      <c r="A181" s="1512"/>
      <c r="B181" s="1515"/>
      <c r="C181" s="1518"/>
      <c r="D181" s="1521"/>
      <c r="E181" s="1505"/>
      <c r="F181" s="1505"/>
      <c r="G181" s="1505"/>
      <c r="H181" s="1523"/>
      <c r="I181" t="str">
        <f t="shared" si="2"/>
        <v/>
      </c>
    </row>
    <row r="182" spans="1:9" ht="6" customHeight="1">
      <c r="A182" s="1512"/>
      <c r="B182" s="1515"/>
      <c r="C182" s="1518"/>
      <c r="D182" s="1521"/>
      <c r="E182" s="1505"/>
      <c r="F182" s="1505"/>
      <c r="G182" s="1505"/>
      <c r="H182" s="1523"/>
      <c r="I182" t="str">
        <f t="shared" si="2"/>
        <v/>
      </c>
    </row>
    <row r="183" spans="1:9" ht="6" customHeight="1">
      <c r="A183" s="1513"/>
      <c r="B183" s="1516"/>
      <c r="C183" s="1519"/>
      <c r="D183" s="1522"/>
      <c r="E183" s="1505"/>
      <c r="F183" s="1505"/>
      <c r="G183" s="1505"/>
      <c r="H183" s="1523"/>
      <c r="I183" t="str">
        <f t="shared" si="2"/>
        <v/>
      </c>
    </row>
    <row r="184" spans="1:9" ht="5.25" customHeight="1">
      <c r="A184" s="1511">
        <v>51</v>
      </c>
      <c r="B184" s="1514" t="s">
        <v>83</v>
      </c>
      <c r="C184" s="1517" t="s">
        <v>702</v>
      </c>
      <c r="D184" s="1520" t="s">
        <v>693</v>
      </c>
      <c r="E184" s="1505">
        <v>41.61</v>
      </c>
      <c r="F184" s="1505" t="s">
        <v>2591</v>
      </c>
      <c r="G184" s="1505" t="s">
        <v>2592</v>
      </c>
      <c r="H184" s="1523">
        <v>41.61</v>
      </c>
      <c r="I184" t="str">
        <f t="shared" si="2"/>
        <v/>
      </c>
    </row>
    <row r="185" spans="1:9" ht="5.25" customHeight="1">
      <c r="A185" s="1512"/>
      <c r="B185" s="1515"/>
      <c r="C185" s="1518"/>
      <c r="D185" s="1521"/>
      <c r="E185" s="1505"/>
      <c r="F185" s="1505"/>
      <c r="G185" s="1505"/>
      <c r="H185" s="1523"/>
      <c r="I185" t="str">
        <f t="shared" si="2"/>
        <v/>
      </c>
    </row>
    <row r="186" spans="1:9" ht="5.25" customHeight="1">
      <c r="A186" s="1512"/>
      <c r="B186" s="1515"/>
      <c r="C186" s="1518"/>
      <c r="D186" s="1521"/>
      <c r="E186" s="1505"/>
      <c r="F186" s="1505"/>
      <c r="G186" s="1505"/>
      <c r="H186" s="1523"/>
      <c r="I186" t="str">
        <f t="shared" si="2"/>
        <v/>
      </c>
    </row>
    <row r="187" spans="1:9" ht="5.25" customHeight="1">
      <c r="A187" s="1512"/>
      <c r="B187" s="1515"/>
      <c r="C187" s="1518"/>
      <c r="D187" s="1521"/>
      <c r="E187" s="1505"/>
      <c r="F187" s="1505"/>
      <c r="G187" s="1505"/>
      <c r="H187" s="1523"/>
      <c r="I187" t="str">
        <f t="shared" si="2"/>
        <v/>
      </c>
    </row>
    <row r="188" spans="1:9" ht="5.25" customHeight="1">
      <c r="A188" s="1512"/>
      <c r="B188" s="1515"/>
      <c r="C188" s="1518"/>
      <c r="D188" s="1521"/>
      <c r="E188" s="1505"/>
      <c r="F188" s="1505"/>
      <c r="G188" s="1505"/>
      <c r="H188" s="1523"/>
      <c r="I188" t="str">
        <f t="shared" si="2"/>
        <v/>
      </c>
    </row>
    <row r="189" spans="1:9" ht="5.25" customHeight="1">
      <c r="A189" s="1512"/>
      <c r="B189" s="1515"/>
      <c r="C189" s="1518"/>
      <c r="D189" s="1521"/>
      <c r="E189" s="1505"/>
      <c r="F189" s="1505"/>
      <c r="G189" s="1505"/>
      <c r="H189" s="1523"/>
      <c r="I189" t="str">
        <f t="shared" si="2"/>
        <v/>
      </c>
    </row>
    <row r="190" spans="1:9" ht="5.25" customHeight="1">
      <c r="A190" s="1512"/>
      <c r="B190" s="1515"/>
      <c r="C190" s="1518"/>
      <c r="D190" s="1521"/>
      <c r="E190" s="1505"/>
      <c r="F190" s="1505"/>
      <c r="G190" s="1505"/>
      <c r="H190" s="1523"/>
      <c r="I190" t="str">
        <f t="shared" si="2"/>
        <v/>
      </c>
    </row>
    <row r="191" spans="1:9" ht="5.25" customHeight="1">
      <c r="A191" s="1513"/>
      <c r="B191" s="1516"/>
      <c r="C191" s="1519"/>
      <c r="D191" s="1522"/>
      <c r="E191" s="1505"/>
      <c r="F191" s="1505"/>
      <c r="G191" s="1505"/>
      <c r="H191" s="1523"/>
      <c r="I191" t="str">
        <f t="shared" si="2"/>
        <v/>
      </c>
    </row>
    <row r="192" spans="1:9" ht="11.25" customHeight="1">
      <c r="A192" s="1511">
        <v>52</v>
      </c>
      <c r="B192" s="1514" t="s">
        <v>83</v>
      </c>
      <c r="C192" s="1517" t="s">
        <v>69</v>
      </c>
      <c r="D192" s="1520" t="s">
        <v>693</v>
      </c>
      <c r="E192" s="1505">
        <v>29.4</v>
      </c>
      <c r="F192" s="1505" t="s">
        <v>710</v>
      </c>
      <c r="G192" s="1505" t="s">
        <v>2593</v>
      </c>
      <c r="H192" s="1523">
        <v>29.4</v>
      </c>
      <c r="I192" t="str">
        <f t="shared" si="2"/>
        <v/>
      </c>
    </row>
    <row r="193" spans="1:9" ht="11.25" customHeight="1">
      <c r="A193" s="1512"/>
      <c r="B193" s="1515"/>
      <c r="C193" s="1518"/>
      <c r="D193" s="1521"/>
      <c r="E193" s="1505"/>
      <c r="F193" s="1505"/>
      <c r="G193" s="1505"/>
      <c r="H193" s="1523"/>
      <c r="I193" t="str">
        <f t="shared" si="2"/>
        <v/>
      </c>
    </row>
    <row r="194" spans="1:9" ht="11.25" customHeight="1">
      <c r="A194" s="1512"/>
      <c r="B194" s="1515"/>
      <c r="C194" s="1518"/>
      <c r="D194" s="1521"/>
      <c r="E194" s="1505"/>
      <c r="F194" s="1505"/>
      <c r="G194" s="1505"/>
      <c r="H194" s="1523"/>
      <c r="I194" t="str">
        <f t="shared" si="2"/>
        <v/>
      </c>
    </row>
    <row r="195" spans="1:9" ht="11.25" customHeight="1">
      <c r="A195" s="1512"/>
      <c r="B195" s="1515"/>
      <c r="C195" s="1518"/>
      <c r="D195" s="1521"/>
      <c r="E195" s="1505"/>
      <c r="F195" s="1505"/>
      <c r="G195" s="1505"/>
      <c r="H195" s="1523"/>
      <c r="I195" t="str">
        <f t="shared" si="2"/>
        <v/>
      </c>
    </row>
    <row r="196" spans="1:9" ht="11.25" customHeight="1">
      <c r="A196" s="1513"/>
      <c r="B196" s="1516"/>
      <c r="C196" s="1519"/>
      <c r="D196" s="1522"/>
      <c r="E196" s="1505"/>
      <c r="F196" s="1505"/>
      <c r="G196" s="1505"/>
      <c r="H196" s="1523"/>
      <c r="I196" t="str">
        <f t="shared" si="2"/>
        <v/>
      </c>
    </row>
    <row r="197" spans="1:9" ht="6.75" customHeight="1">
      <c r="A197" s="1507">
        <v>53</v>
      </c>
      <c r="B197" s="1508" t="s">
        <v>83</v>
      </c>
      <c r="C197" s="1509" t="s">
        <v>711</v>
      </c>
      <c r="D197" s="1510" t="s">
        <v>693</v>
      </c>
      <c r="E197" s="1505">
        <v>57.661999999999999</v>
      </c>
      <c r="F197" s="1505" t="s">
        <v>714</v>
      </c>
      <c r="G197" s="1505" t="s">
        <v>2594</v>
      </c>
      <c r="H197" s="1523">
        <v>57.661999999999999</v>
      </c>
      <c r="I197" t="str">
        <f t="shared" si="2"/>
        <v/>
      </c>
    </row>
    <row r="198" spans="1:9" ht="15" customHeight="1">
      <c r="A198" s="1507"/>
      <c r="B198" s="1508"/>
      <c r="C198" s="1509"/>
      <c r="D198" s="1510"/>
      <c r="E198" s="1505"/>
      <c r="F198" s="1505"/>
      <c r="G198" s="1505"/>
      <c r="H198" s="1523"/>
      <c r="I198" t="str">
        <f t="shared" si="2"/>
        <v/>
      </c>
    </row>
    <row r="199" spans="1:9" ht="15" customHeight="1">
      <c r="A199" s="1507"/>
      <c r="B199" s="1508"/>
      <c r="C199" s="1509"/>
      <c r="D199" s="1510"/>
      <c r="E199" s="1505"/>
      <c r="F199" s="1505"/>
      <c r="G199" s="1505"/>
      <c r="H199" s="1523"/>
      <c r="I199" t="str">
        <f t="shared" si="2"/>
        <v/>
      </c>
    </row>
    <row r="200" spans="1:9" ht="15" customHeight="1">
      <c r="A200" s="1507"/>
      <c r="B200" s="1508"/>
      <c r="C200" s="1509"/>
      <c r="D200" s="1510"/>
      <c r="E200" s="1505"/>
      <c r="F200" s="1505"/>
      <c r="G200" s="1505"/>
      <c r="H200" s="1523"/>
      <c r="I200" t="str">
        <f t="shared" ref="I200:I263" si="3">IF(H199&gt;E199,9999,"")</f>
        <v/>
      </c>
    </row>
    <row r="201" spans="1:9" ht="49.5" customHeight="1">
      <c r="A201" s="1507">
        <v>54</v>
      </c>
      <c r="B201" s="1508" t="s">
        <v>728</v>
      </c>
      <c r="C201" s="1509" t="s">
        <v>729</v>
      </c>
      <c r="D201" s="1510" t="s">
        <v>730</v>
      </c>
      <c r="E201" s="1505">
        <v>1.96</v>
      </c>
      <c r="F201" s="1505" t="s">
        <v>60</v>
      </c>
      <c r="G201" s="1505" t="s">
        <v>540</v>
      </c>
      <c r="H201" s="1506">
        <v>1.83</v>
      </c>
      <c r="I201" t="str">
        <f t="shared" si="3"/>
        <v/>
      </c>
    </row>
    <row r="202" spans="1:9" ht="49.5" customHeight="1">
      <c r="A202" s="1507"/>
      <c r="B202" s="1508"/>
      <c r="C202" s="1509"/>
      <c r="D202" s="1510"/>
      <c r="E202" s="1505"/>
      <c r="F202" s="1505"/>
      <c r="G202" s="1505"/>
      <c r="H202" s="1506"/>
      <c r="I202" t="str">
        <f t="shared" si="3"/>
        <v/>
      </c>
    </row>
    <row r="203" spans="1:9" ht="21" customHeight="1">
      <c r="A203" s="1507">
        <v>55</v>
      </c>
      <c r="B203" s="1508" t="s">
        <v>746</v>
      </c>
      <c r="C203" s="1509" t="s">
        <v>747</v>
      </c>
      <c r="D203" s="1510" t="s">
        <v>748</v>
      </c>
      <c r="E203" s="1505">
        <v>10.76</v>
      </c>
      <c r="F203" s="1505" t="s">
        <v>60</v>
      </c>
      <c r="G203" s="1505" t="s">
        <v>2597</v>
      </c>
      <c r="H203" s="1506">
        <v>0</v>
      </c>
      <c r="I203" t="str">
        <f t="shared" si="3"/>
        <v/>
      </c>
    </row>
    <row r="204" spans="1:9" ht="21" customHeight="1">
      <c r="A204" s="1507"/>
      <c r="B204" s="1508"/>
      <c r="C204" s="1509"/>
      <c r="D204" s="1510"/>
      <c r="E204" s="1505"/>
      <c r="F204" s="1505"/>
      <c r="G204" s="1505"/>
      <c r="H204" s="1506"/>
      <c r="I204" t="str">
        <f t="shared" si="3"/>
        <v/>
      </c>
    </row>
    <row r="205" spans="1:9" ht="27.75" customHeight="1">
      <c r="A205" s="1507">
        <v>56</v>
      </c>
      <c r="B205" s="1508" t="s">
        <v>749</v>
      </c>
      <c r="C205" s="1509" t="s">
        <v>750</v>
      </c>
      <c r="D205" s="1510" t="s">
        <v>751</v>
      </c>
      <c r="E205" s="1505">
        <v>46.51</v>
      </c>
      <c r="F205" s="1505" t="s">
        <v>60</v>
      </c>
      <c r="G205" s="1505" t="s">
        <v>2583</v>
      </c>
      <c r="H205" s="1506">
        <v>0</v>
      </c>
      <c r="I205" t="str">
        <f t="shared" si="3"/>
        <v/>
      </c>
    </row>
    <row r="206" spans="1:9" ht="27.75" customHeight="1">
      <c r="A206" s="1507"/>
      <c r="B206" s="1508"/>
      <c r="C206" s="1509"/>
      <c r="D206" s="1510"/>
      <c r="E206" s="1505"/>
      <c r="F206" s="1505"/>
      <c r="G206" s="1505"/>
      <c r="H206" s="1506"/>
      <c r="I206" t="str">
        <f t="shared" si="3"/>
        <v/>
      </c>
    </row>
    <row r="207" spans="1:9" ht="27.75" customHeight="1">
      <c r="A207" s="1507">
        <v>57</v>
      </c>
      <c r="B207" s="1508" t="s">
        <v>752</v>
      </c>
      <c r="C207" s="1509" t="s">
        <v>753</v>
      </c>
      <c r="D207" s="1510" t="s">
        <v>754</v>
      </c>
      <c r="E207" s="1505">
        <v>2.79</v>
      </c>
      <c r="F207" s="1505" t="s">
        <v>60</v>
      </c>
      <c r="G207" s="1505" t="s">
        <v>2553</v>
      </c>
      <c r="H207" s="1506">
        <v>2</v>
      </c>
      <c r="I207" t="str">
        <f t="shared" si="3"/>
        <v/>
      </c>
    </row>
    <row r="208" spans="1:9" ht="27.75" customHeight="1">
      <c r="A208" s="1507"/>
      <c r="B208" s="1508"/>
      <c r="C208" s="1509"/>
      <c r="D208" s="1510"/>
      <c r="E208" s="1505"/>
      <c r="F208" s="1505"/>
      <c r="G208" s="1505"/>
      <c r="H208" s="1506"/>
      <c r="I208" t="str">
        <f t="shared" si="3"/>
        <v/>
      </c>
    </row>
    <row r="209" spans="1:9" ht="52.5" customHeight="1">
      <c r="A209" s="1507">
        <v>58</v>
      </c>
      <c r="B209" s="1508" t="s">
        <v>758</v>
      </c>
      <c r="C209" s="1509" t="s">
        <v>759</v>
      </c>
      <c r="D209" s="1510" t="s">
        <v>760</v>
      </c>
      <c r="E209" s="1505">
        <v>14.06</v>
      </c>
      <c r="F209" s="1505" t="s">
        <v>60</v>
      </c>
      <c r="G209" s="1505" t="s">
        <v>2599</v>
      </c>
      <c r="H209" s="1525">
        <v>0</v>
      </c>
      <c r="I209" t="str">
        <f t="shared" si="3"/>
        <v/>
      </c>
    </row>
    <row r="210" spans="1:9" ht="52.5" customHeight="1">
      <c r="A210" s="1507"/>
      <c r="B210" s="1508"/>
      <c r="C210" s="1524"/>
      <c r="D210" s="1510"/>
      <c r="E210" s="1505"/>
      <c r="F210" s="1505"/>
      <c r="G210" s="1505"/>
      <c r="H210" s="1525"/>
      <c r="I210" t="str">
        <f t="shared" si="3"/>
        <v/>
      </c>
    </row>
    <row r="211" spans="1:9" ht="36" customHeight="1">
      <c r="A211" s="1507">
        <v>59</v>
      </c>
      <c r="B211" s="1508" t="s">
        <v>761</v>
      </c>
      <c r="C211" s="1509" t="s">
        <v>762</v>
      </c>
      <c r="D211" s="1510" t="s">
        <v>763</v>
      </c>
      <c r="E211" s="1505">
        <v>3.9</v>
      </c>
      <c r="F211" s="1505" t="s">
        <v>60</v>
      </c>
      <c r="G211" s="1505" t="s">
        <v>2600</v>
      </c>
      <c r="H211" s="1526">
        <v>1</v>
      </c>
      <c r="I211" t="str">
        <f t="shared" si="3"/>
        <v/>
      </c>
    </row>
    <row r="212" spans="1:9" ht="15" customHeight="1">
      <c r="A212" s="1507"/>
      <c r="B212" s="1508"/>
      <c r="C212" s="1509"/>
      <c r="D212" s="1510"/>
      <c r="E212" s="1505"/>
      <c r="F212" s="1505"/>
      <c r="G212" s="1505"/>
      <c r="H212" s="1526"/>
      <c r="I212" t="str">
        <f t="shared" si="3"/>
        <v/>
      </c>
    </row>
    <row r="213" spans="1:9" ht="39" customHeight="1">
      <c r="A213" s="1507">
        <v>60</v>
      </c>
      <c r="B213" s="1508" t="s">
        <v>764</v>
      </c>
      <c r="C213" s="1509" t="s">
        <v>765</v>
      </c>
      <c r="D213" s="1510" t="s">
        <v>766</v>
      </c>
      <c r="E213" s="1505">
        <v>67.31</v>
      </c>
      <c r="F213" s="1505" t="s">
        <v>60</v>
      </c>
      <c r="G213" s="1505" t="s">
        <v>2583</v>
      </c>
      <c r="H213" s="1506">
        <v>0</v>
      </c>
      <c r="I213" t="str">
        <f t="shared" si="3"/>
        <v/>
      </c>
    </row>
    <row r="214" spans="1:9" ht="39" customHeight="1">
      <c r="A214" s="1507"/>
      <c r="B214" s="1508"/>
      <c r="C214" s="1509"/>
      <c r="D214" s="1510"/>
      <c r="E214" s="1505"/>
      <c r="F214" s="1505"/>
      <c r="G214" s="1505"/>
      <c r="H214" s="1506"/>
      <c r="I214" t="str">
        <f t="shared" si="3"/>
        <v/>
      </c>
    </row>
    <row r="215" spans="1:9" ht="39" customHeight="1">
      <c r="A215" s="1507">
        <v>61</v>
      </c>
      <c r="B215" s="1508" t="s">
        <v>767</v>
      </c>
      <c r="C215" s="1509" t="s">
        <v>768</v>
      </c>
      <c r="D215" s="1510" t="s">
        <v>769</v>
      </c>
      <c r="E215" s="1505">
        <v>5.9050000000000002</v>
      </c>
      <c r="F215" s="1505" t="s">
        <v>60</v>
      </c>
      <c r="G215" s="1505" t="s">
        <v>2601</v>
      </c>
      <c r="H215" s="1525">
        <v>0</v>
      </c>
      <c r="I215" t="str">
        <f t="shared" si="3"/>
        <v/>
      </c>
    </row>
    <row r="216" spans="1:9" ht="39" customHeight="1">
      <c r="A216" s="1507"/>
      <c r="B216" s="1508"/>
      <c r="C216" s="1509"/>
      <c r="D216" s="1510"/>
      <c r="E216" s="1505"/>
      <c r="F216" s="1505"/>
      <c r="G216" s="1505"/>
      <c r="H216" s="1525"/>
      <c r="I216" t="str">
        <f t="shared" si="3"/>
        <v/>
      </c>
    </row>
    <row r="217" spans="1:9" ht="15" customHeight="1">
      <c r="A217" s="1507">
        <v>62</v>
      </c>
      <c r="B217" s="1508" t="s">
        <v>770</v>
      </c>
      <c r="C217" s="1509" t="s">
        <v>771</v>
      </c>
      <c r="D217" s="1510" t="s">
        <v>772</v>
      </c>
      <c r="E217" s="1505">
        <v>29.706</v>
      </c>
      <c r="F217" s="1505" t="s">
        <v>60</v>
      </c>
      <c r="G217" s="1505" t="s">
        <v>2577</v>
      </c>
      <c r="H217" s="1506">
        <v>0</v>
      </c>
      <c r="I217" t="str">
        <f t="shared" si="3"/>
        <v/>
      </c>
    </row>
    <row r="218" spans="1:9" ht="15" customHeight="1">
      <c r="A218" s="1507"/>
      <c r="B218" s="1508"/>
      <c r="C218" s="1509"/>
      <c r="D218" s="1510"/>
      <c r="E218" s="1505"/>
      <c r="F218" s="1505"/>
      <c r="G218" s="1505"/>
      <c r="H218" s="1506"/>
      <c r="I218" t="str">
        <f t="shared" si="3"/>
        <v/>
      </c>
    </row>
    <row r="219" spans="1:9" ht="15" customHeight="1">
      <c r="A219" s="1511">
        <v>63</v>
      </c>
      <c r="B219" s="1514" t="s">
        <v>773</v>
      </c>
      <c r="C219" s="1517" t="s">
        <v>774</v>
      </c>
      <c r="D219" s="1571" t="s">
        <v>775</v>
      </c>
      <c r="E219" s="1575">
        <v>35.399000000000001</v>
      </c>
      <c r="F219" s="1505" t="s">
        <v>60</v>
      </c>
      <c r="G219" s="1575" t="s">
        <v>2602</v>
      </c>
      <c r="H219" s="1506">
        <v>21.25</v>
      </c>
      <c r="I219" t="str">
        <f t="shared" si="3"/>
        <v/>
      </c>
    </row>
    <row r="220" spans="1:9" ht="15" customHeight="1">
      <c r="A220" s="1512"/>
      <c r="B220" s="1515"/>
      <c r="C220" s="1518"/>
      <c r="D220" s="1572"/>
      <c r="E220" s="1575"/>
      <c r="F220" s="1505"/>
      <c r="G220" s="1575"/>
      <c r="H220" s="1506"/>
      <c r="I220" t="str">
        <f t="shared" si="3"/>
        <v/>
      </c>
    </row>
    <row r="221" spans="1:9" ht="15" customHeight="1">
      <c r="A221" s="1512"/>
      <c r="B221" s="1515"/>
      <c r="C221" s="1569"/>
      <c r="D221" s="1573"/>
      <c r="E221" s="1576"/>
      <c r="F221" s="1505"/>
      <c r="G221" s="1576"/>
      <c r="H221" s="1506"/>
      <c r="I221" t="str">
        <f t="shared" si="3"/>
        <v/>
      </c>
    </row>
    <row r="222" spans="1:9" ht="15" customHeight="1">
      <c r="A222" s="1513"/>
      <c r="B222" s="1516"/>
      <c r="C222" s="1570"/>
      <c r="D222" s="1574"/>
      <c r="E222" s="1576"/>
      <c r="F222" s="1505"/>
      <c r="G222" s="1576"/>
      <c r="H222" s="1506"/>
      <c r="I222" t="str">
        <f t="shared" si="3"/>
        <v/>
      </c>
    </row>
    <row r="223" spans="1:9" ht="15" customHeight="1">
      <c r="A223" s="1507">
        <v>64</v>
      </c>
      <c r="B223" s="1508" t="s">
        <v>776</v>
      </c>
      <c r="C223" s="1509" t="s">
        <v>777</v>
      </c>
      <c r="D223" s="1510" t="s">
        <v>778</v>
      </c>
      <c r="E223" s="1505">
        <v>65.94</v>
      </c>
      <c r="F223" s="1505" t="s">
        <v>779</v>
      </c>
      <c r="G223" s="1505" t="s">
        <v>2603</v>
      </c>
      <c r="H223" s="1506">
        <v>16</v>
      </c>
      <c r="I223" t="str">
        <f t="shared" si="3"/>
        <v/>
      </c>
    </row>
    <row r="224" spans="1:9" ht="21" customHeight="1">
      <c r="A224" s="1507"/>
      <c r="B224" s="1508"/>
      <c r="C224" s="1509"/>
      <c r="D224" s="1510"/>
      <c r="E224" s="1505"/>
      <c r="F224" s="1505"/>
      <c r="G224" s="1505"/>
      <c r="H224" s="1506"/>
      <c r="I224" t="str">
        <f t="shared" si="3"/>
        <v/>
      </c>
    </row>
    <row r="225" spans="1:9" ht="9.75" customHeight="1">
      <c r="A225" s="1511">
        <v>65</v>
      </c>
      <c r="B225" s="1514">
        <v>805766</v>
      </c>
      <c r="C225" s="1517" t="s">
        <v>782</v>
      </c>
      <c r="D225" s="1520" t="s">
        <v>783</v>
      </c>
      <c r="E225" s="1505">
        <v>58.83</v>
      </c>
      <c r="F225" s="1505" t="s">
        <v>784</v>
      </c>
      <c r="G225" s="1505" t="s">
        <v>2604</v>
      </c>
      <c r="H225" s="1526">
        <v>30.5</v>
      </c>
      <c r="I225" t="str">
        <f t="shared" si="3"/>
        <v/>
      </c>
    </row>
    <row r="226" spans="1:9" ht="9.75" customHeight="1">
      <c r="A226" s="1512"/>
      <c r="B226" s="1515"/>
      <c r="C226" s="1518"/>
      <c r="D226" s="1521"/>
      <c r="E226" s="1505"/>
      <c r="F226" s="1505"/>
      <c r="G226" s="1505"/>
      <c r="H226" s="1526"/>
      <c r="I226" t="str">
        <f t="shared" si="3"/>
        <v/>
      </c>
    </row>
    <row r="227" spans="1:9" ht="9.75" customHeight="1">
      <c r="A227" s="1512"/>
      <c r="B227" s="1515"/>
      <c r="C227" s="1518"/>
      <c r="D227" s="1521"/>
      <c r="E227" s="1505"/>
      <c r="F227" s="1505"/>
      <c r="G227" s="1505"/>
      <c r="H227" s="1526"/>
      <c r="I227" t="str">
        <f t="shared" si="3"/>
        <v/>
      </c>
    </row>
    <row r="228" spans="1:9" ht="9.75" customHeight="1">
      <c r="A228" s="1512"/>
      <c r="B228" s="1515"/>
      <c r="C228" s="1518"/>
      <c r="D228" s="1521"/>
      <c r="E228" s="1505"/>
      <c r="F228" s="1505"/>
      <c r="G228" s="1505"/>
      <c r="H228" s="1526"/>
      <c r="I228" t="str">
        <f t="shared" si="3"/>
        <v/>
      </c>
    </row>
    <row r="229" spans="1:9" ht="9.75" customHeight="1">
      <c r="A229" s="1512"/>
      <c r="B229" s="1515"/>
      <c r="C229" s="1518"/>
      <c r="D229" s="1521"/>
      <c r="E229" s="1505"/>
      <c r="F229" s="1505"/>
      <c r="G229" s="1505"/>
      <c r="H229" s="1526"/>
      <c r="I229" t="str">
        <f t="shared" si="3"/>
        <v/>
      </c>
    </row>
    <row r="230" spans="1:9" ht="9.75" customHeight="1">
      <c r="A230" s="1512"/>
      <c r="B230" s="1515"/>
      <c r="C230" s="1518"/>
      <c r="D230" s="1521"/>
      <c r="E230" s="1505"/>
      <c r="F230" s="1505"/>
      <c r="G230" s="1505"/>
      <c r="H230" s="1526"/>
      <c r="I230" t="str">
        <f t="shared" si="3"/>
        <v/>
      </c>
    </row>
    <row r="231" spans="1:9" ht="9.75" customHeight="1">
      <c r="A231" s="1513"/>
      <c r="B231" s="1516"/>
      <c r="C231" s="1519"/>
      <c r="D231" s="1522"/>
      <c r="E231" s="1505"/>
      <c r="F231" s="1505"/>
      <c r="G231" s="1505"/>
      <c r="H231" s="1526"/>
      <c r="I231" t="str">
        <f t="shared" si="3"/>
        <v/>
      </c>
    </row>
    <row r="232" spans="1:9" ht="15" customHeight="1">
      <c r="A232" s="1507">
        <v>66</v>
      </c>
      <c r="B232" s="1508" t="s">
        <v>792</v>
      </c>
      <c r="C232" s="1509" t="s">
        <v>793</v>
      </c>
      <c r="D232" s="1510" t="s">
        <v>794</v>
      </c>
      <c r="E232" s="1505">
        <v>60.551000000000002</v>
      </c>
      <c r="F232" s="1505" t="s">
        <v>60</v>
      </c>
      <c r="G232" s="1505" t="s">
        <v>2583</v>
      </c>
      <c r="H232" s="1506">
        <v>0</v>
      </c>
      <c r="I232" t="str">
        <f t="shared" si="3"/>
        <v/>
      </c>
    </row>
    <row r="233" spans="1:9" ht="15" customHeight="1">
      <c r="A233" s="1507"/>
      <c r="B233" s="1508"/>
      <c r="C233" s="1509"/>
      <c r="D233" s="1510"/>
      <c r="E233" s="1505"/>
      <c r="F233" s="1505"/>
      <c r="G233" s="1505"/>
      <c r="H233" s="1506"/>
      <c r="I233" t="str">
        <f t="shared" si="3"/>
        <v/>
      </c>
    </row>
    <row r="234" spans="1:9" ht="15" customHeight="1">
      <c r="A234" s="1511">
        <v>67</v>
      </c>
      <c r="B234" s="1514" t="s">
        <v>795</v>
      </c>
      <c r="C234" s="1517" t="s">
        <v>796</v>
      </c>
      <c r="D234" s="1520" t="s">
        <v>797</v>
      </c>
      <c r="E234" s="1505">
        <v>62.23</v>
      </c>
      <c r="F234" s="1505" t="s">
        <v>801</v>
      </c>
      <c r="G234" s="1505" t="s">
        <v>2605</v>
      </c>
      <c r="H234" s="1506">
        <v>22.5</v>
      </c>
      <c r="I234" t="str">
        <f t="shared" si="3"/>
        <v/>
      </c>
    </row>
    <row r="235" spans="1:9" ht="15" customHeight="1">
      <c r="A235" s="1512"/>
      <c r="B235" s="1515"/>
      <c r="C235" s="1518"/>
      <c r="D235" s="1521"/>
      <c r="E235" s="1505"/>
      <c r="F235" s="1505"/>
      <c r="G235" s="1505"/>
      <c r="H235" s="1506"/>
      <c r="I235" t="str">
        <f t="shared" si="3"/>
        <v/>
      </c>
    </row>
    <row r="236" spans="1:9" ht="15" customHeight="1">
      <c r="A236" s="1513"/>
      <c r="B236" s="1516"/>
      <c r="C236" s="1519"/>
      <c r="D236" s="1522"/>
      <c r="E236" s="1505"/>
      <c r="F236" s="1505"/>
      <c r="G236" s="1505"/>
      <c r="H236" s="1506"/>
      <c r="I236" t="str">
        <f t="shared" si="3"/>
        <v/>
      </c>
    </row>
    <row r="237" spans="1:9" ht="6" customHeight="1">
      <c r="A237" s="1511">
        <v>68</v>
      </c>
      <c r="B237" s="1514" t="s">
        <v>802</v>
      </c>
      <c r="C237" s="1517" t="s">
        <v>803</v>
      </c>
      <c r="D237" s="1520" t="s">
        <v>804</v>
      </c>
      <c r="E237" s="1505">
        <v>32.200000000000003</v>
      </c>
      <c r="F237" s="1505" t="s">
        <v>60</v>
      </c>
      <c r="G237" s="1505" t="s">
        <v>2606</v>
      </c>
      <c r="H237" s="1506">
        <v>20.844999999999999</v>
      </c>
      <c r="I237" t="str">
        <f t="shared" si="3"/>
        <v/>
      </c>
    </row>
    <row r="238" spans="1:9" ht="6" customHeight="1">
      <c r="A238" s="1512"/>
      <c r="B238" s="1515"/>
      <c r="C238" s="1518"/>
      <c r="D238" s="1521"/>
      <c r="E238" s="1505"/>
      <c r="F238" s="1505"/>
      <c r="G238" s="1505"/>
      <c r="H238" s="1506"/>
      <c r="I238" t="str">
        <f t="shared" si="3"/>
        <v/>
      </c>
    </row>
    <row r="239" spans="1:9" ht="6" customHeight="1">
      <c r="A239" s="1512"/>
      <c r="B239" s="1515"/>
      <c r="C239" s="1518"/>
      <c r="D239" s="1521"/>
      <c r="E239" s="1505"/>
      <c r="F239" s="1505"/>
      <c r="G239" s="1505"/>
      <c r="H239" s="1506"/>
      <c r="I239" t="str">
        <f t="shared" si="3"/>
        <v/>
      </c>
    </row>
    <row r="240" spans="1:9" ht="6" customHeight="1">
      <c r="A240" s="1512"/>
      <c r="B240" s="1515"/>
      <c r="C240" s="1518"/>
      <c r="D240" s="1521"/>
      <c r="E240" s="1505"/>
      <c r="F240" s="1505"/>
      <c r="G240" s="1505"/>
      <c r="H240" s="1506"/>
      <c r="I240" t="str">
        <f t="shared" si="3"/>
        <v/>
      </c>
    </row>
    <row r="241" spans="1:9" ht="6" customHeight="1">
      <c r="A241" s="1512"/>
      <c r="B241" s="1515"/>
      <c r="C241" s="1518"/>
      <c r="D241" s="1521"/>
      <c r="E241" s="1505"/>
      <c r="F241" s="1505"/>
      <c r="G241" s="1505"/>
      <c r="H241" s="1506"/>
      <c r="I241" t="str">
        <f t="shared" si="3"/>
        <v/>
      </c>
    </row>
    <row r="242" spans="1:9" ht="6" customHeight="1">
      <c r="A242" s="1512"/>
      <c r="B242" s="1515"/>
      <c r="C242" s="1518"/>
      <c r="D242" s="1521"/>
      <c r="E242" s="1505"/>
      <c r="F242" s="1505"/>
      <c r="G242" s="1505"/>
      <c r="H242" s="1506"/>
      <c r="I242" t="str">
        <f t="shared" si="3"/>
        <v/>
      </c>
    </row>
    <row r="243" spans="1:9" ht="6" customHeight="1">
      <c r="A243" s="1512"/>
      <c r="B243" s="1515"/>
      <c r="C243" s="1518"/>
      <c r="D243" s="1521"/>
      <c r="E243" s="1505"/>
      <c r="F243" s="1505"/>
      <c r="G243" s="1505"/>
      <c r="H243" s="1506"/>
      <c r="I243" t="str">
        <f t="shared" si="3"/>
        <v/>
      </c>
    </row>
    <row r="244" spans="1:9" ht="6" customHeight="1">
      <c r="A244" s="1512"/>
      <c r="B244" s="1515"/>
      <c r="C244" s="1518"/>
      <c r="D244" s="1521"/>
      <c r="E244" s="1505"/>
      <c r="F244" s="1505"/>
      <c r="G244" s="1505"/>
      <c r="H244" s="1506"/>
      <c r="I244" t="str">
        <f t="shared" si="3"/>
        <v/>
      </c>
    </row>
    <row r="245" spans="1:9" ht="6" customHeight="1">
      <c r="A245" s="1512"/>
      <c r="B245" s="1515"/>
      <c r="C245" s="1518"/>
      <c r="D245" s="1521"/>
      <c r="E245" s="1505"/>
      <c r="F245" s="1505"/>
      <c r="G245" s="1505"/>
      <c r="H245" s="1506"/>
      <c r="I245" t="str">
        <f t="shared" si="3"/>
        <v/>
      </c>
    </row>
    <row r="246" spans="1:9" ht="6" customHeight="1">
      <c r="A246" s="1513"/>
      <c r="B246" s="1516"/>
      <c r="C246" s="1519"/>
      <c r="D246" s="1522"/>
      <c r="E246" s="1505"/>
      <c r="F246" s="1505"/>
      <c r="G246" s="1505"/>
      <c r="H246" s="1506"/>
      <c r="I246" t="str">
        <f t="shared" si="3"/>
        <v/>
      </c>
    </row>
    <row r="247" spans="1:9" ht="15" customHeight="1">
      <c r="A247" s="1507">
        <v>69</v>
      </c>
      <c r="B247" s="1508" t="s">
        <v>818</v>
      </c>
      <c r="C247" s="1509" t="s">
        <v>819</v>
      </c>
      <c r="D247" s="1510" t="s">
        <v>820</v>
      </c>
      <c r="E247" s="1505">
        <v>33.75</v>
      </c>
      <c r="F247" s="1505" t="s">
        <v>60</v>
      </c>
      <c r="G247" s="1505" t="s">
        <v>2583</v>
      </c>
      <c r="H247" s="1525">
        <v>0</v>
      </c>
      <c r="I247" t="str">
        <f t="shared" si="3"/>
        <v/>
      </c>
    </row>
    <row r="248" spans="1:9" ht="21" customHeight="1">
      <c r="A248" s="1507"/>
      <c r="B248" s="1508"/>
      <c r="C248" s="1509"/>
      <c r="D248" s="1510"/>
      <c r="E248" s="1505"/>
      <c r="F248" s="1505"/>
      <c r="G248" s="1505"/>
      <c r="H248" s="1525"/>
      <c r="I248" t="str">
        <f t="shared" si="3"/>
        <v/>
      </c>
    </row>
    <row r="249" spans="1:9" ht="15" customHeight="1">
      <c r="A249" s="1507">
        <v>70</v>
      </c>
      <c r="B249" s="1508" t="s">
        <v>821</v>
      </c>
      <c r="C249" s="1509" t="s">
        <v>822</v>
      </c>
      <c r="D249" s="1510" t="s">
        <v>823</v>
      </c>
      <c r="E249" s="1505">
        <v>9.2899999999999991</v>
      </c>
      <c r="F249" s="1505" t="s">
        <v>60</v>
      </c>
      <c r="G249" s="1505" t="s">
        <v>2607</v>
      </c>
      <c r="H249" s="1525">
        <v>0.47</v>
      </c>
      <c r="I249" t="str">
        <f t="shared" si="3"/>
        <v/>
      </c>
    </row>
    <row r="250" spans="1:9" ht="15" customHeight="1">
      <c r="A250" s="1507"/>
      <c r="B250" s="1508"/>
      <c r="C250" s="1509"/>
      <c r="D250" s="1510"/>
      <c r="E250" s="1505"/>
      <c r="F250" s="1505"/>
      <c r="G250" s="1505"/>
      <c r="H250" s="1525"/>
      <c r="I250" t="str">
        <f t="shared" si="3"/>
        <v/>
      </c>
    </row>
    <row r="251" spans="1:9" ht="15" customHeight="1">
      <c r="A251" s="1507">
        <v>71</v>
      </c>
      <c r="B251" s="1508" t="s">
        <v>795</v>
      </c>
      <c r="C251" s="1517" t="s">
        <v>830</v>
      </c>
      <c r="D251" s="1510" t="s">
        <v>797</v>
      </c>
      <c r="E251" s="1505">
        <v>51.4</v>
      </c>
      <c r="F251" s="1505" t="s">
        <v>60</v>
      </c>
      <c r="G251" s="1505" t="s">
        <v>2583</v>
      </c>
      <c r="H251" s="1525">
        <v>15.77</v>
      </c>
      <c r="I251" t="str">
        <f t="shared" si="3"/>
        <v/>
      </c>
    </row>
    <row r="252" spans="1:9" ht="15" customHeight="1">
      <c r="A252" s="1507"/>
      <c r="B252" s="1508"/>
      <c r="C252" s="1519"/>
      <c r="D252" s="1510"/>
      <c r="E252" s="1505"/>
      <c r="F252" s="1505"/>
      <c r="G252" s="1505"/>
      <c r="H252" s="1525"/>
      <c r="I252" t="str">
        <f t="shared" si="3"/>
        <v/>
      </c>
    </row>
    <row r="253" spans="1:9" ht="15" customHeight="1">
      <c r="A253" s="1507">
        <v>72</v>
      </c>
      <c r="B253" s="1508">
        <v>805620</v>
      </c>
      <c r="C253" s="1517" t="s">
        <v>831</v>
      </c>
      <c r="D253" s="1510" t="s">
        <v>832</v>
      </c>
      <c r="E253" s="1505">
        <v>22.1</v>
      </c>
      <c r="F253" s="1505" t="s">
        <v>60</v>
      </c>
      <c r="G253" s="1505" t="s">
        <v>496</v>
      </c>
      <c r="H253" s="1525">
        <v>5</v>
      </c>
      <c r="I253" t="str">
        <f t="shared" si="3"/>
        <v/>
      </c>
    </row>
    <row r="254" spans="1:9" ht="15" customHeight="1">
      <c r="A254" s="1507"/>
      <c r="B254" s="1508"/>
      <c r="C254" s="1519"/>
      <c r="D254" s="1510"/>
      <c r="E254" s="1505"/>
      <c r="F254" s="1505"/>
      <c r="G254" s="1505"/>
      <c r="H254" s="1525"/>
      <c r="I254" t="str">
        <f t="shared" si="3"/>
        <v/>
      </c>
    </row>
    <row r="255" spans="1:9" ht="21.75" customHeight="1">
      <c r="A255" s="1507">
        <v>73</v>
      </c>
      <c r="B255" s="1508">
        <v>805685</v>
      </c>
      <c r="C255" s="1517" t="s">
        <v>833</v>
      </c>
      <c r="D255" s="1510" t="s">
        <v>834</v>
      </c>
      <c r="E255" s="1505">
        <v>8</v>
      </c>
      <c r="F255" s="1505" t="s">
        <v>60</v>
      </c>
      <c r="G255" s="1505" t="s">
        <v>835</v>
      </c>
      <c r="H255" s="1525">
        <v>8</v>
      </c>
      <c r="I255" t="str">
        <f t="shared" si="3"/>
        <v/>
      </c>
    </row>
    <row r="256" spans="1:9" ht="21.75" customHeight="1">
      <c r="A256" s="1507"/>
      <c r="B256" s="1508"/>
      <c r="C256" s="1519"/>
      <c r="D256" s="1510"/>
      <c r="E256" s="1505"/>
      <c r="F256" s="1505"/>
      <c r="G256" s="1505"/>
      <c r="H256" s="1525"/>
      <c r="I256" t="str">
        <f t="shared" si="3"/>
        <v/>
      </c>
    </row>
    <row r="257" spans="1:9" ht="20.25" customHeight="1">
      <c r="A257" s="1507">
        <v>74</v>
      </c>
      <c r="B257" s="1508" t="s">
        <v>836</v>
      </c>
      <c r="C257" s="1517" t="s">
        <v>837</v>
      </c>
      <c r="D257" s="1520" t="s">
        <v>838</v>
      </c>
      <c r="E257" s="1505">
        <v>15</v>
      </c>
      <c r="F257" s="1505" t="s">
        <v>839</v>
      </c>
      <c r="G257" s="1505" t="s">
        <v>636</v>
      </c>
      <c r="H257" s="1525">
        <v>13.584</v>
      </c>
      <c r="I257" t="str">
        <f t="shared" si="3"/>
        <v/>
      </c>
    </row>
    <row r="258" spans="1:9" ht="20.25" customHeight="1">
      <c r="A258" s="1507"/>
      <c r="B258" s="1508"/>
      <c r="C258" s="1519"/>
      <c r="D258" s="1522"/>
      <c r="E258" s="1505"/>
      <c r="F258" s="1505"/>
      <c r="G258" s="1505"/>
      <c r="H258" s="1525"/>
      <c r="I258" t="str">
        <f t="shared" si="3"/>
        <v/>
      </c>
    </row>
    <row r="259" spans="1:9" ht="26.25" customHeight="1">
      <c r="A259" s="1512">
        <v>75</v>
      </c>
      <c r="B259" s="1508"/>
      <c r="C259" s="1517" t="s">
        <v>840</v>
      </c>
      <c r="D259" s="1521" t="s">
        <v>841</v>
      </c>
      <c r="E259" s="1505">
        <v>16</v>
      </c>
      <c r="F259" s="1505" t="s">
        <v>60</v>
      </c>
      <c r="G259" s="1505" t="s">
        <v>842</v>
      </c>
      <c r="H259" s="1577">
        <v>16</v>
      </c>
      <c r="I259" t="str">
        <f t="shared" si="3"/>
        <v/>
      </c>
    </row>
    <row r="260" spans="1:9" ht="26.25" customHeight="1">
      <c r="A260" s="1512"/>
      <c r="B260" s="1514"/>
      <c r="C260" s="1519"/>
      <c r="D260" s="1521"/>
      <c r="E260" s="1505"/>
      <c r="F260" s="1505"/>
      <c r="G260" s="1505"/>
      <c r="H260" s="1577"/>
      <c r="I260" t="str">
        <f t="shared" si="3"/>
        <v/>
      </c>
    </row>
    <row r="261" spans="1:9" ht="26.25" customHeight="1">
      <c r="A261" s="1507">
        <v>76</v>
      </c>
      <c r="B261" s="1508" t="s">
        <v>843</v>
      </c>
      <c r="C261" s="1517" t="s">
        <v>844</v>
      </c>
      <c r="D261" s="1510" t="s">
        <v>845</v>
      </c>
      <c r="E261" s="1505">
        <v>23.731999999999999</v>
      </c>
      <c r="F261" s="1505" t="s">
        <v>60</v>
      </c>
      <c r="G261" s="1505" t="s">
        <v>489</v>
      </c>
      <c r="H261" s="1577">
        <v>10</v>
      </c>
      <c r="I261" t="str">
        <f t="shared" si="3"/>
        <v/>
      </c>
    </row>
    <row r="262" spans="1:9" ht="26.25" customHeight="1">
      <c r="A262" s="1507"/>
      <c r="B262" s="1508"/>
      <c r="C262" s="1519"/>
      <c r="D262" s="1510"/>
      <c r="E262" s="1505"/>
      <c r="F262" s="1505"/>
      <c r="G262" s="1505"/>
      <c r="H262" s="1577"/>
      <c r="I262" t="str">
        <f t="shared" si="3"/>
        <v/>
      </c>
    </row>
    <row r="263" spans="1:9" ht="26.25" customHeight="1">
      <c r="A263" s="1511">
        <v>77</v>
      </c>
      <c r="B263" s="1508"/>
      <c r="C263" s="1517" t="s">
        <v>846</v>
      </c>
      <c r="D263" s="1510" t="s">
        <v>847</v>
      </c>
      <c r="E263" s="1505">
        <v>33.835000000000001</v>
      </c>
      <c r="F263" s="1505" t="s">
        <v>60</v>
      </c>
      <c r="G263" s="1505" t="s">
        <v>489</v>
      </c>
      <c r="H263" s="1577">
        <v>5</v>
      </c>
      <c r="I263" t="str">
        <f t="shared" si="3"/>
        <v/>
      </c>
    </row>
    <row r="264" spans="1:9" ht="26.25" customHeight="1">
      <c r="A264" s="1513"/>
      <c r="B264" s="1508"/>
      <c r="C264" s="1519"/>
      <c r="D264" s="1510"/>
      <c r="E264" s="1505"/>
      <c r="F264" s="1505"/>
      <c r="G264" s="1505"/>
      <c r="H264" s="1577"/>
      <c r="I264" t="str">
        <f t="shared" ref="I264:I327" si="4">IF(H263&gt;E263,9999,"")</f>
        <v/>
      </c>
    </row>
    <row r="265" spans="1:9" ht="33" customHeight="1">
      <c r="A265" s="1511">
        <v>78</v>
      </c>
      <c r="B265" s="1508" t="s">
        <v>848</v>
      </c>
      <c r="C265" s="1517" t="s">
        <v>849</v>
      </c>
      <c r="D265" s="1520" t="s">
        <v>850</v>
      </c>
      <c r="E265" s="1505">
        <v>43.17</v>
      </c>
      <c r="F265" s="1505" t="s">
        <v>60</v>
      </c>
      <c r="G265" s="1505" t="s">
        <v>489</v>
      </c>
      <c r="H265" s="1577">
        <v>5</v>
      </c>
      <c r="I265" t="str">
        <f t="shared" si="4"/>
        <v/>
      </c>
    </row>
    <row r="266" spans="1:9" ht="37.5" customHeight="1">
      <c r="A266" s="1513"/>
      <c r="B266" s="1508"/>
      <c r="C266" s="1519"/>
      <c r="D266" s="1522"/>
      <c r="E266" s="1505"/>
      <c r="F266" s="1505"/>
      <c r="G266" s="1505"/>
      <c r="H266" s="1577"/>
      <c r="I266" t="str">
        <f t="shared" si="4"/>
        <v/>
      </c>
    </row>
    <row r="267" spans="1:9" ht="37.5" customHeight="1">
      <c r="A267" s="1511">
        <v>79</v>
      </c>
      <c r="B267" s="1508" t="s">
        <v>851</v>
      </c>
      <c r="C267" s="1517" t="s">
        <v>852</v>
      </c>
      <c r="D267" s="1520" t="s">
        <v>853</v>
      </c>
      <c r="E267" s="1505">
        <v>28.15</v>
      </c>
      <c r="F267" s="1505" t="s">
        <v>60</v>
      </c>
      <c r="G267" s="1505" t="s">
        <v>489</v>
      </c>
      <c r="H267" s="1577">
        <v>5</v>
      </c>
      <c r="I267" t="str">
        <f t="shared" si="4"/>
        <v/>
      </c>
    </row>
    <row r="268" spans="1:9" ht="26.25" customHeight="1">
      <c r="A268" s="1513"/>
      <c r="B268" s="1508"/>
      <c r="C268" s="1519"/>
      <c r="D268" s="1522"/>
      <c r="E268" s="1505"/>
      <c r="F268" s="1505"/>
      <c r="G268" s="1505"/>
      <c r="H268" s="1577"/>
      <c r="I268" t="str">
        <f t="shared" si="4"/>
        <v/>
      </c>
    </row>
    <row r="269" spans="1:9" ht="26.25" customHeight="1">
      <c r="A269" s="1511">
        <v>80</v>
      </c>
      <c r="B269" s="1508" t="s">
        <v>854</v>
      </c>
      <c r="C269" s="1583" t="s">
        <v>855</v>
      </c>
      <c r="D269" s="1584" t="s">
        <v>856</v>
      </c>
      <c r="E269" s="1505">
        <v>31.44</v>
      </c>
      <c r="F269" s="1505" t="s">
        <v>60</v>
      </c>
      <c r="G269" s="1505" t="s">
        <v>489</v>
      </c>
      <c r="H269" s="1577">
        <v>5</v>
      </c>
      <c r="I269" t="str">
        <f t="shared" si="4"/>
        <v/>
      </c>
    </row>
    <row r="270" spans="1:9" ht="26.25" customHeight="1">
      <c r="A270" s="1513"/>
      <c r="B270" s="1508"/>
      <c r="C270" s="1583"/>
      <c r="D270" s="1584"/>
      <c r="E270" s="1505"/>
      <c r="F270" s="1505"/>
      <c r="G270" s="1505"/>
      <c r="H270" s="1577"/>
      <c r="I270" t="str">
        <f t="shared" si="4"/>
        <v/>
      </c>
    </row>
    <row r="271" spans="1:9" ht="15" customHeight="1">
      <c r="A271" s="1511">
        <v>81</v>
      </c>
      <c r="B271" s="1514"/>
      <c r="C271" s="1579" t="s">
        <v>2557</v>
      </c>
      <c r="D271" s="1581"/>
      <c r="E271" s="1505">
        <v>12.3</v>
      </c>
      <c r="F271" s="1505" t="s">
        <v>2558</v>
      </c>
      <c r="G271" s="1505" t="s">
        <v>2559</v>
      </c>
      <c r="H271" s="1577">
        <v>0</v>
      </c>
      <c r="I271" t="str">
        <f t="shared" si="4"/>
        <v/>
      </c>
    </row>
    <row r="272" spans="1:9" ht="8.25" customHeight="1" thickBot="1">
      <c r="A272" s="1578"/>
      <c r="B272" s="1516"/>
      <c r="C272" s="1580"/>
      <c r="D272" s="1582"/>
      <c r="E272" s="1505"/>
      <c r="F272" s="1505"/>
      <c r="G272" s="1505"/>
      <c r="H272" s="1577"/>
      <c r="I272" t="str">
        <f t="shared" si="4"/>
        <v/>
      </c>
    </row>
    <row r="273" spans="1:9" ht="15" customHeight="1" thickTop="1">
      <c r="A273" s="1511">
        <v>82</v>
      </c>
      <c r="B273" s="1508" t="s">
        <v>857</v>
      </c>
      <c r="C273" s="1586" t="s">
        <v>858</v>
      </c>
      <c r="D273" s="1510" t="s">
        <v>859</v>
      </c>
      <c r="E273" s="1505">
        <v>29.5</v>
      </c>
      <c r="F273" s="1505" t="s">
        <v>60</v>
      </c>
      <c r="G273" s="1505" t="s">
        <v>496</v>
      </c>
      <c r="H273" s="1577">
        <v>5</v>
      </c>
      <c r="I273" t="str">
        <f t="shared" si="4"/>
        <v/>
      </c>
    </row>
    <row r="274" spans="1:9" ht="38.25" customHeight="1" thickBot="1">
      <c r="A274" s="1578"/>
      <c r="B274" s="1585"/>
      <c r="C274" s="1587"/>
      <c r="D274" s="1588"/>
      <c r="E274" s="1505"/>
      <c r="F274" s="1505"/>
      <c r="G274" s="1505"/>
      <c r="H274" s="1577"/>
      <c r="I274" t="str">
        <f t="shared" si="4"/>
        <v/>
      </c>
    </row>
    <row r="275" spans="1:9" ht="15" customHeight="1" thickTop="1">
      <c r="A275" s="1536">
        <v>83</v>
      </c>
      <c r="B275" s="1537">
        <v>805684</v>
      </c>
      <c r="C275" s="1538" t="s">
        <v>24</v>
      </c>
      <c r="D275" s="1534" t="s">
        <v>860</v>
      </c>
      <c r="E275" s="1530">
        <v>4</v>
      </c>
      <c r="F275" s="1548" t="s">
        <v>60</v>
      </c>
      <c r="G275" s="1530" t="s">
        <v>107</v>
      </c>
      <c r="H275" s="1527">
        <v>4</v>
      </c>
      <c r="I275" t="str">
        <f t="shared" si="4"/>
        <v/>
      </c>
    </row>
    <row r="276" spans="1:9" ht="22.5" customHeight="1">
      <c r="A276" s="1531"/>
      <c r="B276" s="1532"/>
      <c r="C276" s="1533"/>
      <c r="D276" s="1535"/>
      <c r="E276" s="1530"/>
      <c r="F276" s="1548"/>
      <c r="G276" s="1530"/>
      <c r="H276" s="1527"/>
      <c r="I276" t="str">
        <f t="shared" si="4"/>
        <v/>
      </c>
    </row>
    <row r="277" spans="1:9" ht="15" customHeight="1">
      <c r="A277" s="1531">
        <v>84</v>
      </c>
      <c r="B277" s="1532">
        <v>805684</v>
      </c>
      <c r="C277" s="1533" t="s">
        <v>25</v>
      </c>
      <c r="D277" s="1534" t="s">
        <v>860</v>
      </c>
      <c r="E277" s="1530">
        <v>45.91</v>
      </c>
      <c r="F277" s="1548" t="s">
        <v>60</v>
      </c>
      <c r="G277" s="1530" t="s">
        <v>2608</v>
      </c>
      <c r="H277" s="1527">
        <v>45.91</v>
      </c>
      <c r="I277" t="str">
        <f t="shared" si="4"/>
        <v/>
      </c>
    </row>
    <row r="278" spans="1:9" ht="19.5" customHeight="1">
      <c r="A278" s="1531"/>
      <c r="B278" s="1532"/>
      <c r="C278" s="1533"/>
      <c r="D278" s="1535"/>
      <c r="E278" s="1530"/>
      <c r="F278" s="1548"/>
      <c r="G278" s="1530"/>
      <c r="H278" s="1527"/>
      <c r="I278" t="str">
        <f t="shared" si="4"/>
        <v/>
      </c>
    </row>
    <row r="279" spans="1:9" ht="15" customHeight="1">
      <c r="A279" s="1549">
        <v>85</v>
      </c>
      <c r="B279" s="1541" t="s">
        <v>26</v>
      </c>
      <c r="C279" s="1552" t="s">
        <v>27</v>
      </c>
      <c r="D279" s="1553" t="s">
        <v>861</v>
      </c>
      <c r="E279" s="1530">
        <v>46.84</v>
      </c>
      <c r="F279" s="1530" t="s">
        <v>41</v>
      </c>
      <c r="G279" s="1530" t="s">
        <v>30</v>
      </c>
      <c r="H279" s="1527">
        <v>46.84</v>
      </c>
      <c r="I279" t="str">
        <f t="shared" si="4"/>
        <v/>
      </c>
    </row>
    <row r="280" spans="1:9" ht="15" customHeight="1">
      <c r="A280" s="1589"/>
      <c r="B280" s="1590"/>
      <c r="C280" s="1567"/>
      <c r="D280" s="1568"/>
      <c r="E280" s="1530"/>
      <c r="F280" s="1530"/>
      <c r="G280" s="1530"/>
      <c r="H280" s="1527"/>
      <c r="I280" t="str">
        <f t="shared" si="4"/>
        <v/>
      </c>
    </row>
    <row r="281" spans="1:9" ht="15" customHeight="1">
      <c r="A281" s="1589"/>
      <c r="B281" s="1590"/>
      <c r="C281" s="1567"/>
      <c r="D281" s="1568"/>
      <c r="E281" s="1530"/>
      <c r="F281" s="1530"/>
      <c r="G281" s="1530"/>
      <c r="H281" s="1527"/>
      <c r="I281" t="str">
        <f t="shared" si="4"/>
        <v/>
      </c>
    </row>
    <row r="282" spans="1:9" ht="15" customHeight="1">
      <c r="A282" s="1550"/>
      <c r="B282" s="1542"/>
      <c r="C282" s="1538"/>
      <c r="D282" s="1534"/>
      <c r="E282" s="1530"/>
      <c r="F282" s="1530"/>
      <c r="G282" s="1530"/>
      <c r="H282" s="1527"/>
      <c r="I282" t="str">
        <f t="shared" si="4"/>
        <v/>
      </c>
    </row>
    <row r="283" spans="1:9" ht="27.75" customHeight="1">
      <c r="A283" s="1528">
        <v>86</v>
      </c>
      <c r="B283" s="1529" t="s">
        <v>26</v>
      </c>
      <c r="C283" s="1533" t="s">
        <v>34</v>
      </c>
      <c r="D283" s="1535" t="s">
        <v>861</v>
      </c>
      <c r="E283" s="1530">
        <v>12.93</v>
      </c>
      <c r="F283" s="1530" t="s">
        <v>35</v>
      </c>
      <c r="G283" s="1530" t="s">
        <v>36</v>
      </c>
      <c r="H283" s="1527">
        <v>12.93</v>
      </c>
      <c r="I283" t="str">
        <f t="shared" si="4"/>
        <v/>
      </c>
    </row>
    <row r="284" spans="1:9" ht="27.75" customHeight="1">
      <c r="A284" s="1528"/>
      <c r="B284" s="1529"/>
      <c r="C284" s="1533"/>
      <c r="D284" s="1535"/>
      <c r="E284" s="1530"/>
      <c r="F284" s="1530"/>
      <c r="G284" s="1530"/>
      <c r="H284" s="1527"/>
      <c r="I284" t="str">
        <f t="shared" si="4"/>
        <v/>
      </c>
    </row>
    <row r="285" spans="1:9" ht="27.75" customHeight="1">
      <c r="A285" s="1528">
        <v>87</v>
      </c>
      <c r="B285" s="1529" t="s">
        <v>26</v>
      </c>
      <c r="C285" s="1533" t="s">
        <v>37</v>
      </c>
      <c r="D285" s="1535" t="s">
        <v>861</v>
      </c>
      <c r="E285" s="1530">
        <v>36.07</v>
      </c>
      <c r="F285" s="1530" t="s">
        <v>2609</v>
      </c>
      <c r="G285" s="1530" t="s">
        <v>41</v>
      </c>
      <c r="H285" s="1527">
        <v>35.454999999999998</v>
      </c>
      <c r="I285" t="str">
        <f t="shared" si="4"/>
        <v/>
      </c>
    </row>
    <row r="286" spans="1:9" ht="27.75" customHeight="1">
      <c r="A286" s="1528"/>
      <c r="B286" s="1529"/>
      <c r="C286" s="1533"/>
      <c r="D286" s="1535"/>
      <c r="E286" s="1530"/>
      <c r="F286" s="1530"/>
      <c r="G286" s="1530"/>
      <c r="H286" s="1527"/>
      <c r="I286" t="str">
        <f t="shared" si="4"/>
        <v/>
      </c>
    </row>
    <row r="287" spans="1:9" ht="36" customHeight="1">
      <c r="A287" s="1528">
        <v>88</v>
      </c>
      <c r="B287" s="1529" t="s">
        <v>26</v>
      </c>
      <c r="C287" s="1533" t="s">
        <v>42</v>
      </c>
      <c r="D287" s="1535" t="s">
        <v>861</v>
      </c>
      <c r="E287" s="1530">
        <v>7.1130000000000004</v>
      </c>
      <c r="F287" s="1530" t="s">
        <v>60</v>
      </c>
      <c r="G287" s="1530" t="s">
        <v>2610</v>
      </c>
      <c r="H287" s="1527">
        <v>7.1130000000000004</v>
      </c>
      <c r="I287" t="str">
        <f t="shared" si="4"/>
        <v/>
      </c>
    </row>
    <row r="288" spans="1:9" ht="36" customHeight="1">
      <c r="A288" s="1528"/>
      <c r="B288" s="1529"/>
      <c r="C288" s="1533"/>
      <c r="D288" s="1535"/>
      <c r="E288" s="1530"/>
      <c r="F288" s="1530"/>
      <c r="G288" s="1530"/>
      <c r="H288" s="1527"/>
      <c r="I288" t="str">
        <f t="shared" si="4"/>
        <v/>
      </c>
    </row>
    <row r="289" spans="1:9" ht="36" customHeight="1">
      <c r="A289" s="1528">
        <v>89</v>
      </c>
      <c r="B289" s="1532">
        <v>805616</v>
      </c>
      <c r="C289" s="1533" t="s">
        <v>43</v>
      </c>
      <c r="D289" s="1535" t="s">
        <v>862</v>
      </c>
      <c r="E289" s="1530">
        <v>7.11</v>
      </c>
      <c r="F289" s="1530" t="s">
        <v>2611</v>
      </c>
      <c r="G289" s="1530" t="s">
        <v>636</v>
      </c>
      <c r="H289" s="1527">
        <v>4.8600000000000003</v>
      </c>
      <c r="I289" t="str">
        <f t="shared" si="4"/>
        <v/>
      </c>
    </row>
    <row r="290" spans="1:9" ht="36" customHeight="1">
      <c r="A290" s="1528"/>
      <c r="B290" s="1532"/>
      <c r="C290" s="1533"/>
      <c r="D290" s="1535"/>
      <c r="E290" s="1530"/>
      <c r="F290" s="1530"/>
      <c r="G290" s="1530"/>
      <c r="H290" s="1527"/>
      <c r="I290" t="str">
        <f t="shared" si="4"/>
        <v/>
      </c>
    </row>
    <row r="291" spans="1:9" ht="36" customHeight="1">
      <c r="A291" s="387">
        <v>90</v>
      </c>
      <c r="B291" s="388">
        <v>805453</v>
      </c>
      <c r="C291" s="389" t="s">
        <v>46</v>
      </c>
      <c r="D291" s="422" t="s">
        <v>863</v>
      </c>
      <c r="E291" s="386">
        <v>6.33</v>
      </c>
      <c r="F291" s="386" t="s">
        <v>47</v>
      </c>
      <c r="G291" s="386" t="s">
        <v>48</v>
      </c>
      <c r="H291" s="442">
        <v>6.33</v>
      </c>
      <c r="I291" t="str">
        <f t="shared" si="4"/>
        <v/>
      </c>
    </row>
    <row r="292" spans="1:9" ht="36" customHeight="1">
      <c r="A292" s="1528">
        <v>91</v>
      </c>
      <c r="B292" s="1532">
        <v>805454</v>
      </c>
      <c r="C292" s="1533" t="s">
        <v>50</v>
      </c>
      <c r="D292" s="1535" t="s">
        <v>864</v>
      </c>
      <c r="E292" s="1530">
        <v>1.23</v>
      </c>
      <c r="F292" s="1530" t="s">
        <v>60</v>
      </c>
      <c r="G292" s="1530" t="s">
        <v>2612</v>
      </c>
      <c r="H292" s="1527">
        <v>1.23</v>
      </c>
      <c r="I292" t="str">
        <f t="shared" si="4"/>
        <v/>
      </c>
    </row>
    <row r="293" spans="1:9" ht="36" customHeight="1">
      <c r="A293" s="1528"/>
      <c r="B293" s="1532"/>
      <c r="C293" s="1533"/>
      <c r="D293" s="1535"/>
      <c r="E293" s="1530"/>
      <c r="F293" s="1530"/>
      <c r="G293" s="1530"/>
      <c r="H293" s="1527"/>
      <c r="I293" t="str">
        <f t="shared" si="4"/>
        <v/>
      </c>
    </row>
    <row r="294" spans="1:9" ht="36" customHeight="1">
      <c r="A294" s="1528">
        <v>92</v>
      </c>
      <c r="B294" s="1532">
        <v>805565</v>
      </c>
      <c r="C294" s="1533" t="s">
        <v>51</v>
      </c>
      <c r="D294" s="1535" t="s">
        <v>865</v>
      </c>
      <c r="E294" s="1530">
        <v>1.87</v>
      </c>
      <c r="F294" s="1530" t="s">
        <v>60</v>
      </c>
      <c r="G294" s="1530" t="s">
        <v>2613</v>
      </c>
      <c r="H294" s="1527">
        <v>1.87</v>
      </c>
      <c r="I294" t="str">
        <f t="shared" si="4"/>
        <v/>
      </c>
    </row>
    <row r="295" spans="1:9" ht="36" customHeight="1">
      <c r="A295" s="1528"/>
      <c r="B295" s="1532"/>
      <c r="C295" s="1533"/>
      <c r="D295" s="1535"/>
      <c r="E295" s="1530"/>
      <c r="F295" s="1530"/>
      <c r="G295" s="1530"/>
      <c r="H295" s="1527"/>
      <c r="I295" t="str">
        <f t="shared" si="4"/>
        <v/>
      </c>
    </row>
    <row r="296" spans="1:9" ht="36" customHeight="1">
      <c r="A296" s="1528">
        <v>93</v>
      </c>
      <c r="B296" s="1532">
        <v>805672</v>
      </c>
      <c r="C296" s="1533" t="s">
        <v>52</v>
      </c>
      <c r="D296" s="1535" t="s">
        <v>866</v>
      </c>
      <c r="E296" s="1530">
        <v>7.89</v>
      </c>
      <c r="F296" s="1530" t="s">
        <v>60</v>
      </c>
      <c r="G296" s="1530" t="s">
        <v>2614</v>
      </c>
      <c r="H296" s="1527">
        <v>7.89</v>
      </c>
      <c r="I296" t="str">
        <f t="shared" si="4"/>
        <v/>
      </c>
    </row>
    <row r="297" spans="1:9" ht="36" customHeight="1">
      <c r="A297" s="1528"/>
      <c r="B297" s="1532"/>
      <c r="C297" s="1533"/>
      <c r="D297" s="1535"/>
      <c r="E297" s="1530"/>
      <c r="F297" s="1530"/>
      <c r="G297" s="1530"/>
      <c r="H297" s="1527"/>
      <c r="I297" t="str">
        <f t="shared" si="4"/>
        <v/>
      </c>
    </row>
    <row r="298" spans="1:9" ht="21.75" customHeight="1">
      <c r="A298" s="1528">
        <v>94</v>
      </c>
      <c r="B298" s="1532">
        <v>805455</v>
      </c>
      <c r="C298" s="1533" t="s">
        <v>55</v>
      </c>
      <c r="D298" s="1535" t="s">
        <v>867</v>
      </c>
      <c r="E298" s="1530">
        <v>12.57</v>
      </c>
      <c r="F298" s="1530" t="s">
        <v>60</v>
      </c>
      <c r="G298" s="1530" t="s">
        <v>2554</v>
      </c>
      <c r="H298" s="1527">
        <v>12.565</v>
      </c>
      <c r="I298" t="str">
        <f t="shared" si="4"/>
        <v/>
      </c>
    </row>
    <row r="299" spans="1:9" ht="21.75" customHeight="1">
      <c r="A299" s="1528"/>
      <c r="B299" s="1532"/>
      <c r="C299" s="1533"/>
      <c r="D299" s="1535"/>
      <c r="E299" s="1530"/>
      <c r="F299" s="1530"/>
      <c r="G299" s="1530"/>
      <c r="H299" s="1527"/>
      <c r="I299" t="str">
        <f t="shared" si="4"/>
        <v/>
      </c>
    </row>
    <row r="300" spans="1:9" ht="18" customHeight="1">
      <c r="A300" s="1528">
        <v>95</v>
      </c>
      <c r="B300" s="1532">
        <v>805861</v>
      </c>
      <c r="C300" s="1533" t="s">
        <v>56</v>
      </c>
      <c r="D300" s="1535" t="s">
        <v>868</v>
      </c>
      <c r="E300" s="1530">
        <v>12.42</v>
      </c>
      <c r="F300" s="1530" t="s">
        <v>60</v>
      </c>
      <c r="G300" s="1530" t="s">
        <v>678</v>
      </c>
      <c r="H300" s="1527">
        <v>12.4</v>
      </c>
      <c r="I300" t="str">
        <f t="shared" si="4"/>
        <v/>
      </c>
    </row>
    <row r="301" spans="1:9" ht="18" customHeight="1">
      <c r="A301" s="1528"/>
      <c r="B301" s="1532"/>
      <c r="C301" s="1533"/>
      <c r="D301" s="1535"/>
      <c r="E301" s="1530"/>
      <c r="F301" s="1530"/>
      <c r="G301" s="1530"/>
      <c r="H301" s="1527"/>
      <c r="I301" t="str">
        <f t="shared" si="4"/>
        <v/>
      </c>
    </row>
    <row r="302" spans="1:9" ht="24.75" customHeight="1">
      <c r="A302" s="1528">
        <v>96</v>
      </c>
      <c r="B302" s="1532">
        <v>805504</v>
      </c>
      <c r="C302" s="1533" t="s">
        <v>57</v>
      </c>
      <c r="D302" s="1535" t="s">
        <v>869</v>
      </c>
      <c r="E302" s="1530">
        <v>1.42</v>
      </c>
      <c r="F302" s="1530" t="s">
        <v>60</v>
      </c>
      <c r="G302" s="1530" t="s">
        <v>2595</v>
      </c>
      <c r="H302" s="1527">
        <v>1.42</v>
      </c>
      <c r="I302" t="str">
        <f t="shared" si="4"/>
        <v/>
      </c>
    </row>
    <row r="303" spans="1:9" ht="24.75" customHeight="1">
      <c r="A303" s="1528"/>
      <c r="B303" s="1532"/>
      <c r="C303" s="1533"/>
      <c r="D303" s="1535"/>
      <c r="E303" s="1530"/>
      <c r="F303" s="1530"/>
      <c r="G303" s="1530"/>
      <c r="H303" s="1527"/>
      <c r="I303" t="str">
        <f t="shared" si="4"/>
        <v/>
      </c>
    </row>
    <row r="304" spans="1:9" ht="24.75" customHeight="1">
      <c r="A304" s="1528">
        <v>97</v>
      </c>
      <c r="B304" s="1532">
        <v>805800</v>
      </c>
      <c r="C304" s="1533" t="s">
        <v>59</v>
      </c>
      <c r="D304" s="1535" t="s">
        <v>871</v>
      </c>
      <c r="E304" s="1530">
        <v>12.5</v>
      </c>
      <c r="F304" s="1530" t="s">
        <v>60</v>
      </c>
      <c r="G304" s="1530" t="s">
        <v>61</v>
      </c>
      <c r="H304" s="1527">
        <v>6.5</v>
      </c>
      <c r="I304" t="str">
        <f t="shared" si="4"/>
        <v/>
      </c>
    </row>
    <row r="305" spans="1:9" ht="24.75" customHeight="1">
      <c r="A305" s="1528"/>
      <c r="B305" s="1532"/>
      <c r="C305" s="1533"/>
      <c r="D305" s="1535"/>
      <c r="E305" s="1530"/>
      <c r="F305" s="1530"/>
      <c r="G305" s="1530"/>
      <c r="H305" s="1527"/>
      <c r="I305" t="str">
        <f t="shared" si="4"/>
        <v/>
      </c>
    </row>
    <row r="306" spans="1:9" ht="21.75" customHeight="1">
      <c r="A306" s="1528">
        <v>98</v>
      </c>
      <c r="B306" s="1532">
        <v>805510</v>
      </c>
      <c r="C306" s="1591" t="s">
        <v>62</v>
      </c>
      <c r="D306" s="1535" t="s">
        <v>872</v>
      </c>
      <c r="E306" s="1530">
        <v>5.98</v>
      </c>
      <c r="F306" s="1530" t="s">
        <v>60</v>
      </c>
      <c r="G306" s="1530" t="s">
        <v>1294</v>
      </c>
      <c r="H306" s="1562">
        <v>5.98</v>
      </c>
      <c r="I306" t="str">
        <f t="shared" si="4"/>
        <v/>
      </c>
    </row>
    <row r="307" spans="1:9" ht="15.75" customHeight="1">
      <c r="A307" s="1528"/>
      <c r="B307" s="1532"/>
      <c r="C307" s="1591"/>
      <c r="D307" s="1535"/>
      <c r="E307" s="1530"/>
      <c r="F307" s="1530"/>
      <c r="G307" s="1530"/>
      <c r="H307" s="1562"/>
      <c r="I307" t="str">
        <f t="shared" si="4"/>
        <v/>
      </c>
    </row>
    <row r="308" spans="1:9" ht="22.5" customHeight="1">
      <c r="A308" s="1549">
        <v>99</v>
      </c>
      <c r="B308" s="1551">
        <v>805462</v>
      </c>
      <c r="C308" s="1552" t="s">
        <v>873</v>
      </c>
      <c r="D308" s="1553" t="s">
        <v>874</v>
      </c>
      <c r="E308" s="1530">
        <v>14.14</v>
      </c>
      <c r="F308" s="1530" t="s">
        <v>60</v>
      </c>
      <c r="G308" s="1530" t="s">
        <v>2599</v>
      </c>
      <c r="H308" s="1527">
        <v>12.2</v>
      </c>
      <c r="I308" t="str">
        <f t="shared" si="4"/>
        <v/>
      </c>
    </row>
    <row r="309" spans="1:9" ht="22.5" customHeight="1">
      <c r="A309" s="1589"/>
      <c r="B309" s="1566"/>
      <c r="C309" s="1567"/>
      <c r="D309" s="1568"/>
      <c r="E309" s="1530"/>
      <c r="F309" s="1530"/>
      <c r="G309" s="1530"/>
      <c r="H309" s="1527"/>
      <c r="I309" t="str">
        <f t="shared" si="4"/>
        <v/>
      </c>
    </row>
    <row r="310" spans="1:9" ht="22.5" customHeight="1">
      <c r="A310" s="1589"/>
      <c r="B310" s="1566"/>
      <c r="C310" s="1567"/>
      <c r="D310" s="1568"/>
      <c r="E310" s="1530"/>
      <c r="F310" s="1530"/>
      <c r="G310" s="1530"/>
      <c r="H310" s="1527"/>
      <c r="I310" t="str">
        <f t="shared" si="4"/>
        <v/>
      </c>
    </row>
    <row r="311" spans="1:9" ht="22.5" customHeight="1">
      <c r="A311" s="1550"/>
      <c r="B311" s="1537"/>
      <c r="C311" s="1538"/>
      <c r="D311" s="1534"/>
      <c r="E311" s="1530"/>
      <c r="F311" s="1530"/>
      <c r="G311" s="1530"/>
      <c r="H311" s="1527"/>
      <c r="I311" t="str">
        <f t="shared" si="4"/>
        <v/>
      </c>
    </row>
    <row r="312" spans="1:9" ht="5.25" customHeight="1">
      <c r="A312" s="1549">
        <v>100</v>
      </c>
      <c r="B312" s="1551">
        <v>805807</v>
      </c>
      <c r="C312" s="1552" t="s">
        <v>69</v>
      </c>
      <c r="D312" s="1553" t="s">
        <v>693</v>
      </c>
      <c r="E312" s="1530">
        <v>46.2</v>
      </c>
      <c r="F312" s="1530" t="s">
        <v>70</v>
      </c>
      <c r="G312" s="1530" t="s">
        <v>2615</v>
      </c>
      <c r="H312" s="1527">
        <v>46.2</v>
      </c>
      <c r="I312" t="str">
        <f t="shared" si="4"/>
        <v/>
      </c>
    </row>
    <row r="313" spans="1:9" ht="5.25" customHeight="1">
      <c r="A313" s="1589"/>
      <c r="B313" s="1566"/>
      <c r="C313" s="1567"/>
      <c r="D313" s="1568"/>
      <c r="E313" s="1530"/>
      <c r="F313" s="1530"/>
      <c r="G313" s="1530"/>
      <c r="H313" s="1527"/>
      <c r="I313" t="str">
        <f t="shared" si="4"/>
        <v/>
      </c>
    </row>
    <row r="314" spans="1:9" ht="5.25" customHeight="1">
      <c r="A314" s="1589"/>
      <c r="B314" s="1566"/>
      <c r="C314" s="1567"/>
      <c r="D314" s="1568"/>
      <c r="E314" s="1530"/>
      <c r="F314" s="1530"/>
      <c r="G314" s="1530"/>
      <c r="H314" s="1527"/>
      <c r="I314" t="str">
        <f t="shared" si="4"/>
        <v/>
      </c>
    </row>
    <row r="315" spans="1:9" ht="5.25" customHeight="1">
      <c r="A315" s="1589"/>
      <c r="B315" s="1566"/>
      <c r="C315" s="1567"/>
      <c r="D315" s="1568"/>
      <c r="E315" s="1530"/>
      <c r="F315" s="1530"/>
      <c r="G315" s="1530"/>
      <c r="H315" s="1527"/>
      <c r="I315" t="str">
        <f t="shared" si="4"/>
        <v/>
      </c>
    </row>
    <row r="316" spans="1:9" ht="5.25" customHeight="1">
      <c r="A316" s="1589"/>
      <c r="B316" s="1566"/>
      <c r="C316" s="1567"/>
      <c r="D316" s="1568"/>
      <c r="E316" s="1530"/>
      <c r="F316" s="1530"/>
      <c r="G316" s="1530"/>
      <c r="H316" s="1527"/>
      <c r="I316" t="str">
        <f t="shared" si="4"/>
        <v/>
      </c>
    </row>
    <row r="317" spans="1:9" ht="5.25" customHeight="1">
      <c r="A317" s="1589"/>
      <c r="B317" s="1566"/>
      <c r="C317" s="1567"/>
      <c r="D317" s="1568"/>
      <c r="E317" s="1530"/>
      <c r="F317" s="1530"/>
      <c r="G317" s="1530"/>
      <c r="H317" s="1527"/>
      <c r="I317" t="str">
        <f t="shared" si="4"/>
        <v/>
      </c>
    </row>
    <row r="318" spans="1:9" ht="5.25" customHeight="1">
      <c r="A318" s="1589"/>
      <c r="B318" s="1566"/>
      <c r="C318" s="1567"/>
      <c r="D318" s="1568"/>
      <c r="E318" s="1530"/>
      <c r="F318" s="1530"/>
      <c r="G318" s="1530"/>
      <c r="H318" s="1527"/>
      <c r="I318" t="str">
        <f t="shared" si="4"/>
        <v/>
      </c>
    </row>
    <row r="319" spans="1:9" ht="5.25" customHeight="1">
      <c r="A319" s="1589"/>
      <c r="B319" s="1566"/>
      <c r="C319" s="1567"/>
      <c r="D319" s="1568"/>
      <c r="E319" s="1530"/>
      <c r="F319" s="1530"/>
      <c r="G319" s="1530"/>
      <c r="H319" s="1527"/>
      <c r="I319" t="str">
        <f t="shared" si="4"/>
        <v/>
      </c>
    </row>
    <row r="320" spans="1:9" ht="5.25" customHeight="1">
      <c r="A320" s="1589"/>
      <c r="B320" s="1566"/>
      <c r="C320" s="1567"/>
      <c r="D320" s="1568"/>
      <c r="E320" s="1530"/>
      <c r="F320" s="1530"/>
      <c r="G320" s="1530"/>
      <c r="H320" s="1527"/>
      <c r="I320" t="str">
        <f t="shared" si="4"/>
        <v/>
      </c>
    </row>
    <row r="321" spans="1:9" ht="5.25" customHeight="1">
      <c r="A321" s="1589"/>
      <c r="B321" s="1566"/>
      <c r="C321" s="1567"/>
      <c r="D321" s="1568"/>
      <c r="E321" s="1530"/>
      <c r="F321" s="1530"/>
      <c r="G321" s="1530"/>
      <c r="H321" s="1527"/>
      <c r="I321" t="str">
        <f t="shared" si="4"/>
        <v/>
      </c>
    </row>
    <row r="322" spans="1:9" ht="5.25" customHeight="1">
      <c r="A322" s="1550"/>
      <c r="B322" s="1537"/>
      <c r="C322" s="1538"/>
      <c r="D322" s="1534"/>
      <c r="E322" s="1530"/>
      <c r="F322" s="1530"/>
      <c r="G322" s="1530"/>
      <c r="H322" s="1527"/>
      <c r="I322" t="str">
        <f t="shared" si="4"/>
        <v/>
      </c>
    </row>
    <row r="323" spans="1:9" ht="10.5" customHeight="1">
      <c r="A323" s="1549">
        <v>101</v>
      </c>
      <c r="B323" s="1551">
        <v>805807</v>
      </c>
      <c r="C323" s="1552" t="s">
        <v>76</v>
      </c>
      <c r="D323" s="1553" t="s">
        <v>693</v>
      </c>
      <c r="E323" s="1530">
        <v>57.3</v>
      </c>
      <c r="F323" s="1530" t="s">
        <v>77</v>
      </c>
      <c r="G323" s="1530" t="s">
        <v>80</v>
      </c>
      <c r="H323" s="1562">
        <v>57.3</v>
      </c>
      <c r="I323" t="str">
        <f t="shared" si="4"/>
        <v/>
      </c>
    </row>
    <row r="324" spans="1:9" ht="10.5" customHeight="1">
      <c r="A324" s="1589"/>
      <c r="B324" s="1566"/>
      <c r="C324" s="1567"/>
      <c r="D324" s="1568"/>
      <c r="E324" s="1530"/>
      <c r="F324" s="1530"/>
      <c r="G324" s="1530"/>
      <c r="H324" s="1562"/>
      <c r="I324" t="str">
        <f t="shared" si="4"/>
        <v/>
      </c>
    </row>
    <row r="325" spans="1:9" ht="10.5" customHeight="1">
      <c r="A325" s="1589"/>
      <c r="B325" s="1566"/>
      <c r="C325" s="1567"/>
      <c r="D325" s="1568"/>
      <c r="E325" s="1530"/>
      <c r="F325" s="1530"/>
      <c r="G325" s="1530"/>
      <c r="H325" s="1562"/>
      <c r="I325" t="str">
        <f t="shared" si="4"/>
        <v/>
      </c>
    </row>
    <row r="326" spans="1:9" ht="10.5" customHeight="1">
      <c r="A326" s="1589"/>
      <c r="B326" s="1566"/>
      <c r="C326" s="1567"/>
      <c r="D326" s="1568"/>
      <c r="E326" s="1530"/>
      <c r="F326" s="1530"/>
      <c r="G326" s="1530"/>
      <c r="H326" s="1562"/>
      <c r="I326" t="str">
        <f t="shared" si="4"/>
        <v/>
      </c>
    </row>
    <row r="327" spans="1:9" ht="10.5" customHeight="1">
      <c r="A327" s="1550"/>
      <c r="B327" s="1537"/>
      <c r="C327" s="1538"/>
      <c r="D327" s="1534"/>
      <c r="E327" s="1530"/>
      <c r="F327" s="1530"/>
      <c r="G327" s="1530"/>
      <c r="H327" s="1562"/>
      <c r="I327" t="str">
        <f t="shared" si="4"/>
        <v/>
      </c>
    </row>
    <row r="328" spans="1:9" ht="15" customHeight="1">
      <c r="A328" s="1549">
        <v>102</v>
      </c>
      <c r="B328" s="1551">
        <v>805463</v>
      </c>
      <c r="C328" s="1552" t="s">
        <v>82</v>
      </c>
      <c r="D328" s="1553" t="s">
        <v>875</v>
      </c>
      <c r="E328" s="1530">
        <v>3.13</v>
      </c>
      <c r="F328" s="1530" t="s">
        <v>60</v>
      </c>
      <c r="G328" s="1530" t="s">
        <v>2616</v>
      </c>
      <c r="H328" s="1527">
        <v>3.13</v>
      </c>
      <c r="I328" t="str">
        <f t="shared" ref="I328:I357" si="5">IF(H327&gt;E327,9999,"")</f>
        <v/>
      </c>
    </row>
    <row r="329" spans="1:9" ht="15" customHeight="1">
      <c r="A329" s="1550"/>
      <c r="B329" s="1537"/>
      <c r="C329" s="1538"/>
      <c r="D329" s="1534"/>
      <c r="E329" s="1530"/>
      <c r="F329" s="1530"/>
      <c r="G329" s="1530"/>
      <c r="H329" s="1527"/>
      <c r="I329" t="str">
        <f t="shared" si="5"/>
        <v/>
      </c>
    </row>
    <row r="330" spans="1:9" ht="3.75" customHeight="1">
      <c r="A330" s="1563">
        <v>103</v>
      </c>
      <c r="B330" s="1551" t="s">
        <v>83</v>
      </c>
      <c r="C330" s="1552" t="s">
        <v>84</v>
      </c>
      <c r="D330" s="1553" t="s">
        <v>693</v>
      </c>
      <c r="E330" s="1530">
        <v>60.73</v>
      </c>
      <c r="F330" s="1530" t="s">
        <v>2615</v>
      </c>
      <c r="G330" s="1530" t="s">
        <v>77</v>
      </c>
      <c r="H330" s="1562">
        <v>60.73</v>
      </c>
      <c r="I330" t="str">
        <f t="shared" si="5"/>
        <v/>
      </c>
    </row>
    <row r="331" spans="1:9" ht="3.75" customHeight="1">
      <c r="A331" s="1564"/>
      <c r="B331" s="1566"/>
      <c r="C331" s="1567"/>
      <c r="D331" s="1568"/>
      <c r="E331" s="1530"/>
      <c r="F331" s="1530"/>
      <c r="G331" s="1530"/>
      <c r="H331" s="1562"/>
      <c r="I331" t="str">
        <f t="shared" si="5"/>
        <v/>
      </c>
    </row>
    <row r="332" spans="1:9" ht="3.75" customHeight="1">
      <c r="A332" s="1564"/>
      <c r="B332" s="1566"/>
      <c r="C332" s="1567"/>
      <c r="D332" s="1568"/>
      <c r="E332" s="1530"/>
      <c r="F332" s="1530"/>
      <c r="G332" s="1530"/>
      <c r="H332" s="1562"/>
      <c r="I332" t="str">
        <f t="shared" si="5"/>
        <v/>
      </c>
    </row>
    <row r="333" spans="1:9" ht="3.75" customHeight="1">
      <c r="A333" s="1564"/>
      <c r="B333" s="1566"/>
      <c r="C333" s="1567"/>
      <c r="D333" s="1568"/>
      <c r="E333" s="1530"/>
      <c r="F333" s="1530"/>
      <c r="G333" s="1530"/>
      <c r="H333" s="1562"/>
      <c r="I333" t="str">
        <f t="shared" si="5"/>
        <v/>
      </c>
    </row>
    <row r="334" spans="1:9" ht="3.75" customHeight="1">
      <c r="A334" s="1564"/>
      <c r="B334" s="1566"/>
      <c r="C334" s="1567"/>
      <c r="D334" s="1568"/>
      <c r="E334" s="1530"/>
      <c r="F334" s="1530"/>
      <c r="G334" s="1530"/>
      <c r="H334" s="1562"/>
      <c r="I334" t="str">
        <f t="shared" si="5"/>
        <v/>
      </c>
    </row>
    <row r="335" spans="1:9" ht="3.75" customHeight="1">
      <c r="A335" s="1564"/>
      <c r="B335" s="1566"/>
      <c r="C335" s="1567"/>
      <c r="D335" s="1568"/>
      <c r="E335" s="1530"/>
      <c r="F335" s="1530"/>
      <c r="G335" s="1530"/>
      <c r="H335" s="1562"/>
      <c r="I335" t="str">
        <f t="shared" si="5"/>
        <v/>
      </c>
    </row>
    <row r="336" spans="1:9" ht="3.75" customHeight="1">
      <c r="A336" s="1564"/>
      <c r="B336" s="1566"/>
      <c r="C336" s="1567"/>
      <c r="D336" s="1568"/>
      <c r="E336" s="1530"/>
      <c r="F336" s="1530"/>
      <c r="G336" s="1530"/>
      <c r="H336" s="1562"/>
      <c r="I336" t="str">
        <f t="shared" si="5"/>
        <v/>
      </c>
    </row>
    <row r="337" spans="1:9" ht="3.75" customHeight="1">
      <c r="A337" s="1564"/>
      <c r="B337" s="1566"/>
      <c r="C337" s="1567"/>
      <c r="D337" s="1568"/>
      <c r="E337" s="1530"/>
      <c r="F337" s="1530"/>
      <c r="G337" s="1530"/>
      <c r="H337" s="1562"/>
      <c r="I337" t="str">
        <f t="shared" si="5"/>
        <v/>
      </c>
    </row>
    <row r="338" spans="1:9" ht="3.75" customHeight="1">
      <c r="A338" s="1564"/>
      <c r="B338" s="1566"/>
      <c r="C338" s="1567"/>
      <c r="D338" s="1568"/>
      <c r="E338" s="1530"/>
      <c r="F338" s="1530"/>
      <c r="G338" s="1530"/>
      <c r="H338" s="1562"/>
      <c r="I338" t="str">
        <f t="shared" si="5"/>
        <v/>
      </c>
    </row>
    <row r="339" spans="1:9" ht="3.75" customHeight="1">
      <c r="A339" s="1565"/>
      <c r="B339" s="1537"/>
      <c r="C339" s="1538"/>
      <c r="D339" s="1534"/>
      <c r="E339" s="1530"/>
      <c r="F339" s="1530"/>
      <c r="G339" s="1530"/>
      <c r="H339" s="1562"/>
      <c r="I339" t="str">
        <f t="shared" si="5"/>
        <v/>
      </c>
    </row>
    <row r="340" spans="1:9" ht="18.75" customHeight="1">
      <c r="A340" s="1539">
        <v>104</v>
      </c>
      <c r="B340" s="1556">
        <v>805856</v>
      </c>
      <c r="C340" s="1558" t="s">
        <v>94</v>
      </c>
      <c r="D340" s="1560" t="s">
        <v>876</v>
      </c>
      <c r="E340" s="1548">
        <v>0.99</v>
      </c>
      <c r="F340" s="1548" t="s">
        <v>60</v>
      </c>
      <c r="G340" s="1548" t="s">
        <v>95</v>
      </c>
      <c r="H340" s="1527">
        <v>0.99</v>
      </c>
      <c r="I340" t="str">
        <f t="shared" si="5"/>
        <v/>
      </c>
    </row>
    <row r="341" spans="1:9" ht="18.75" customHeight="1">
      <c r="A341" s="1540"/>
      <c r="B341" s="1557"/>
      <c r="C341" s="1559"/>
      <c r="D341" s="1561"/>
      <c r="E341" s="1548"/>
      <c r="F341" s="1548"/>
      <c r="G341" s="1548"/>
      <c r="H341" s="1527"/>
      <c r="I341" t="str">
        <f t="shared" si="5"/>
        <v/>
      </c>
    </row>
    <row r="342" spans="1:9" ht="19.5" customHeight="1">
      <c r="A342" s="1539">
        <v>105</v>
      </c>
      <c r="B342" s="1541">
        <v>805868</v>
      </c>
      <c r="C342" s="1543" t="s">
        <v>96</v>
      </c>
      <c r="D342" s="1545" t="s">
        <v>877</v>
      </c>
      <c r="E342" s="1547">
        <v>11.8</v>
      </c>
      <c r="F342" s="1548" t="s">
        <v>60</v>
      </c>
      <c r="G342" s="1547" t="s">
        <v>2617</v>
      </c>
      <c r="H342" s="1527">
        <v>6.13</v>
      </c>
      <c r="I342" t="str">
        <f t="shared" si="5"/>
        <v/>
      </c>
    </row>
    <row r="343" spans="1:9" ht="19.5" customHeight="1">
      <c r="A343" s="1540"/>
      <c r="B343" s="1542"/>
      <c r="C343" s="1544"/>
      <c r="D343" s="1546"/>
      <c r="E343" s="1547"/>
      <c r="F343" s="1548"/>
      <c r="G343" s="1547"/>
      <c r="H343" s="1527"/>
      <c r="I343" t="str">
        <f t="shared" si="5"/>
        <v/>
      </c>
    </row>
    <row r="344" spans="1:9" ht="22.5" customHeight="1">
      <c r="A344" s="1539">
        <v>106</v>
      </c>
      <c r="B344" s="1541">
        <v>805680</v>
      </c>
      <c r="C344" s="1543" t="s">
        <v>97</v>
      </c>
      <c r="D344" s="1554" t="s">
        <v>878</v>
      </c>
      <c r="E344" s="1548">
        <v>2.57</v>
      </c>
      <c r="F344" s="1548" t="s">
        <v>60</v>
      </c>
      <c r="G344" s="1548" t="s">
        <v>98</v>
      </c>
      <c r="H344" s="1527">
        <v>2.57</v>
      </c>
      <c r="I344" t="str">
        <f t="shared" si="5"/>
        <v/>
      </c>
    </row>
    <row r="345" spans="1:9" ht="22.5" customHeight="1">
      <c r="A345" s="1540"/>
      <c r="B345" s="1542"/>
      <c r="C345" s="1544"/>
      <c r="D345" s="1555"/>
      <c r="E345" s="1548"/>
      <c r="F345" s="1548"/>
      <c r="G345" s="1548"/>
      <c r="H345" s="1527"/>
      <c r="I345" t="str">
        <f t="shared" si="5"/>
        <v/>
      </c>
    </row>
    <row r="346" spans="1:9" ht="45" customHeight="1">
      <c r="A346" s="1539">
        <v>107</v>
      </c>
      <c r="B346" s="1541">
        <v>805512</v>
      </c>
      <c r="C346" s="1543" t="s">
        <v>99</v>
      </c>
      <c r="D346" s="1554" t="s">
        <v>879</v>
      </c>
      <c r="E346" s="1548">
        <v>12.24</v>
      </c>
      <c r="F346" s="1548" t="s">
        <v>60</v>
      </c>
      <c r="G346" s="1548" t="s">
        <v>100</v>
      </c>
      <c r="H346" s="1527">
        <v>12.24</v>
      </c>
      <c r="I346" t="str">
        <f t="shared" si="5"/>
        <v/>
      </c>
    </row>
    <row r="347" spans="1:9" ht="45" customHeight="1">
      <c r="A347" s="1540"/>
      <c r="B347" s="1542"/>
      <c r="C347" s="1544"/>
      <c r="D347" s="1555"/>
      <c r="E347" s="1548"/>
      <c r="F347" s="1548"/>
      <c r="G347" s="1548"/>
      <c r="H347" s="1527"/>
      <c r="I347" t="str">
        <f t="shared" si="5"/>
        <v/>
      </c>
    </row>
    <row r="348" spans="1:9" ht="21.75" customHeight="1">
      <c r="A348" s="1539">
        <v>108</v>
      </c>
      <c r="B348" s="1541">
        <v>805860</v>
      </c>
      <c r="C348" s="1543" t="s">
        <v>101</v>
      </c>
      <c r="D348" s="1545" t="s">
        <v>880</v>
      </c>
      <c r="E348" s="1547">
        <v>8.41</v>
      </c>
      <c r="F348" s="1548" t="s">
        <v>60</v>
      </c>
      <c r="G348" s="1547" t="s">
        <v>2562</v>
      </c>
      <c r="H348" s="1527">
        <v>5.1100000000000003</v>
      </c>
      <c r="I348" t="str">
        <f t="shared" si="5"/>
        <v/>
      </c>
    </row>
    <row r="349" spans="1:9" ht="21.75" customHeight="1">
      <c r="A349" s="1540"/>
      <c r="B349" s="1542"/>
      <c r="C349" s="1544"/>
      <c r="D349" s="1546"/>
      <c r="E349" s="1547"/>
      <c r="F349" s="1548"/>
      <c r="G349" s="1547"/>
      <c r="H349" s="1527"/>
      <c r="I349" t="str">
        <f t="shared" si="5"/>
        <v/>
      </c>
    </row>
    <row r="350" spans="1:9" ht="21.75" customHeight="1">
      <c r="A350" s="1539">
        <v>109</v>
      </c>
      <c r="B350" s="1541">
        <v>805572</v>
      </c>
      <c r="C350" s="1543" t="s">
        <v>102</v>
      </c>
      <c r="D350" s="1554" t="s">
        <v>881</v>
      </c>
      <c r="E350" s="1548">
        <v>6.13</v>
      </c>
      <c r="F350" s="1548" t="s">
        <v>60</v>
      </c>
      <c r="G350" s="1548" t="s">
        <v>103</v>
      </c>
      <c r="H350" s="1527">
        <v>6.1</v>
      </c>
      <c r="I350" t="str">
        <f t="shared" si="5"/>
        <v/>
      </c>
    </row>
    <row r="351" spans="1:9" ht="21.75" customHeight="1">
      <c r="A351" s="1540"/>
      <c r="B351" s="1542"/>
      <c r="C351" s="1544"/>
      <c r="D351" s="1555"/>
      <c r="E351" s="1548"/>
      <c r="F351" s="1548"/>
      <c r="G351" s="1548"/>
      <c r="H351" s="1527"/>
      <c r="I351" t="str">
        <f t="shared" si="5"/>
        <v/>
      </c>
    </row>
    <row r="352" spans="1:9" ht="27" customHeight="1">
      <c r="A352" s="1599">
        <v>110</v>
      </c>
      <c r="B352" s="1529" t="s">
        <v>882</v>
      </c>
      <c r="C352" s="1600" t="s">
        <v>104</v>
      </c>
      <c r="D352" s="1601" t="s">
        <v>883</v>
      </c>
      <c r="E352" s="1548">
        <v>14.05</v>
      </c>
      <c r="F352" s="1548" t="s">
        <v>60</v>
      </c>
      <c r="G352" s="1548" t="s">
        <v>2618</v>
      </c>
      <c r="H352" s="1527">
        <v>6.7</v>
      </c>
      <c r="I352" t="str">
        <f t="shared" si="5"/>
        <v/>
      </c>
    </row>
    <row r="353" spans="1:9" ht="27" customHeight="1">
      <c r="A353" s="1599"/>
      <c r="B353" s="1529"/>
      <c r="C353" s="1600"/>
      <c r="D353" s="1601"/>
      <c r="E353" s="1548"/>
      <c r="F353" s="1548"/>
      <c r="G353" s="1548"/>
      <c r="H353" s="1527"/>
      <c r="I353" t="str">
        <f t="shared" si="5"/>
        <v/>
      </c>
    </row>
    <row r="354" spans="1:9" ht="18.75" customHeight="1">
      <c r="A354" s="1563">
        <v>111</v>
      </c>
      <c r="B354" s="1592">
        <v>805671</v>
      </c>
      <c r="C354" s="1594" t="s">
        <v>109</v>
      </c>
      <c r="D354" s="1596" t="s">
        <v>884</v>
      </c>
      <c r="E354" s="1598">
        <v>18.059999999999999</v>
      </c>
      <c r="F354" s="1548" t="s">
        <v>60</v>
      </c>
      <c r="G354" s="1598" t="s">
        <v>492</v>
      </c>
      <c r="H354" s="1527">
        <v>18.059999999999999</v>
      </c>
      <c r="I354" t="str">
        <f t="shared" si="5"/>
        <v/>
      </c>
    </row>
    <row r="355" spans="1:9" ht="18.75" customHeight="1">
      <c r="A355" s="1565"/>
      <c r="B355" s="1593"/>
      <c r="C355" s="1595"/>
      <c r="D355" s="1597"/>
      <c r="E355" s="1598"/>
      <c r="F355" s="1548"/>
      <c r="G355" s="1598"/>
      <c r="H355" s="1527"/>
      <c r="I355" t="str">
        <f t="shared" si="5"/>
        <v/>
      </c>
    </row>
    <row r="356" spans="1:9" ht="18.75" customHeight="1">
      <c r="A356" s="1606">
        <v>112</v>
      </c>
      <c r="B356" s="1598" t="s">
        <v>995</v>
      </c>
      <c r="C356" s="1605" t="s">
        <v>996</v>
      </c>
      <c r="D356" s="1598" t="s">
        <v>860</v>
      </c>
      <c r="E356" s="1604">
        <v>33.83</v>
      </c>
      <c r="F356" s="1604" t="s">
        <v>3266</v>
      </c>
      <c r="G356" s="1604" t="s">
        <v>3267</v>
      </c>
      <c r="H356" s="1607">
        <v>33.83</v>
      </c>
      <c r="I356" t="str">
        <f t="shared" si="5"/>
        <v/>
      </c>
    </row>
    <row r="357" spans="1:9" ht="18.75" customHeight="1">
      <c r="A357" s="1606"/>
      <c r="B357" s="1598" t="s">
        <v>1172</v>
      </c>
      <c r="C357" s="1605" t="s">
        <v>1173</v>
      </c>
      <c r="D357" s="1598"/>
      <c r="E357" s="1604"/>
      <c r="F357" s="1604"/>
      <c r="G357" s="1604"/>
      <c r="H357" s="1607"/>
      <c r="I357" t="str">
        <f t="shared" si="5"/>
        <v/>
      </c>
    </row>
    <row r="358" spans="1:9" ht="18.75" customHeight="1">
      <c r="A358" s="1606">
        <v>113</v>
      </c>
      <c r="B358" s="1598" t="s">
        <v>995</v>
      </c>
      <c r="C358" s="1605" t="s">
        <v>997</v>
      </c>
      <c r="D358" s="1598" t="s">
        <v>860</v>
      </c>
      <c r="E358" s="1604">
        <v>20.663</v>
      </c>
      <c r="F358" s="1604" t="s">
        <v>3264</v>
      </c>
      <c r="G358" s="1604" t="s">
        <v>3266</v>
      </c>
      <c r="H358" s="1607">
        <v>20.663</v>
      </c>
    </row>
    <row r="359" spans="1:9" ht="18.75" customHeight="1">
      <c r="A359" s="1606"/>
      <c r="B359" s="1598" t="s">
        <v>1172</v>
      </c>
      <c r="C359" s="1605" t="s">
        <v>1173</v>
      </c>
      <c r="D359" s="1598"/>
      <c r="E359" s="1604"/>
      <c r="F359" s="1604"/>
      <c r="G359" s="1604"/>
      <c r="H359" s="1607"/>
    </row>
    <row r="360" spans="1:9" ht="18.75" customHeight="1">
      <c r="A360" s="1606">
        <v>114</v>
      </c>
      <c r="B360" s="1598" t="s">
        <v>995</v>
      </c>
      <c r="C360" s="1605" t="s">
        <v>998</v>
      </c>
      <c r="D360" s="1598" t="s">
        <v>860</v>
      </c>
      <c r="E360" s="1604">
        <v>84.98</v>
      </c>
      <c r="F360" s="1505" t="s">
        <v>3263</v>
      </c>
      <c r="G360" s="1604" t="s">
        <v>3264</v>
      </c>
      <c r="H360" s="1607">
        <v>84.98</v>
      </c>
    </row>
    <row r="361" spans="1:9" ht="18.75" customHeight="1">
      <c r="A361" s="1606"/>
      <c r="B361" s="1598" t="s">
        <v>1172</v>
      </c>
      <c r="C361" s="1605" t="s">
        <v>1173</v>
      </c>
      <c r="D361" s="1598"/>
      <c r="E361" s="1604"/>
      <c r="F361" s="1505"/>
      <c r="G361" s="1604"/>
      <c r="H361" s="1607"/>
    </row>
    <row r="362" spans="1:9" ht="18.75">
      <c r="A362" s="1602" t="s">
        <v>1312</v>
      </c>
      <c r="B362" s="1603"/>
      <c r="C362" s="423"/>
      <c r="D362" s="423"/>
      <c r="E362" s="440">
        <f>SUM(E6:E361)</f>
        <v>3059.6260000000002</v>
      </c>
      <c r="F362" s="441" t="s">
        <v>2556</v>
      </c>
      <c r="G362" s="441" t="s">
        <v>2556</v>
      </c>
      <c r="H362" s="443">
        <f>SUM(H6:H361)</f>
        <v>1794.3670000000004</v>
      </c>
    </row>
  </sheetData>
  <mergeCells count="914">
    <mergeCell ref="G358:G359"/>
    <mergeCell ref="H358:H359"/>
    <mergeCell ref="E360:E361"/>
    <mergeCell ref="F360:F361"/>
    <mergeCell ref="G360:G361"/>
    <mergeCell ref="H360:H361"/>
    <mergeCell ref="A358:A359"/>
    <mergeCell ref="A360:A361"/>
    <mergeCell ref="H356:H357"/>
    <mergeCell ref="G356:G357"/>
    <mergeCell ref="A362:B362"/>
    <mergeCell ref="F356:F357"/>
    <mergeCell ref="B358:B359"/>
    <mergeCell ref="C358:C359"/>
    <mergeCell ref="D358:D359"/>
    <mergeCell ref="B360:B361"/>
    <mergeCell ref="C360:C361"/>
    <mergeCell ref="D360:D361"/>
    <mergeCell ref="E358:E359"/>
    <mergeCell ref="F358:F359"/>
    <mergeCell ref="A356:A357"/>
    <mergeCell ref="B356:B357"/>
    <mergeCell ref="C356:C357"/>
    <mergeCell ref="D356:D357"/>
    <mergeCell ref="E356:E357"/>
    <mergeCell ref="A350:A351"/>
    <mergeCell ref="B350:B351"/>
    <mergeCell ref="C350:C351"/>
    <mergeCell ref="D350:D351"/>
    <mergeCell ref="E350:E351"/>
    <mergeCell ref="F350:F351"/>
    <mergeCell ref="G350:G351"/>
    <mergeCell ref="H350:H351"/>
    <mergeCell ref="A352:A353"/>
    <mergeCell ref="B352:B353"/>
    <mergeCell ref="C352:C353"/>
    <mergeCell ref="D352:D353"/>
    <mergeCell ref="E352:E353"/>
    <mergeCell ref="F352:F353"/>
    <mergeCell ref="G352:G353"/>
    <mergeCell ref="H352:H353"/>
    <mergeCell ref="A354:A355"/>
    <mergeCell ref="B354:B355"/>
    <mergeCell ref="C354:C355"/>
    <mergeCell ref="D354:D355"/>
    <mergeCell ref="E354:E355"/>
    <mergeCell ref="F354:F355"/>
    <mergeCell ref="G354:G355"/>
    <mergeCell ref="H354:H355"/>
    <mergeCell ref="F344:F345"/>
    <mergeCell ref="G344:G345"/>
    <mergeCell ref="H344:H345"/>
    <mergeCell ref="A346:A347"/>
    <mergeCell ref="B346:B347"/>
    <mergeCell ref="C346:C347"/>
    <mergeCell ref="D346:D347"/>
    <mergeCell ref="E346:E347"/>
    <mergeCell ref="F346:F347"/>
    <mergeCell ref="G346:G347"/>
    <mergeCell ref="H346:H347"/>
    <mergeCell ref="A348:A349"/>
    <mergeCell ref="B348:B349"/>
    <mergeCell ref="C348:C349"/>
    <mergeCell ref="D348:D349"/>
    <mergeCell ref="E348:E349"/>
    <mergeCell ref="A308:A311"/>
    <mergeCell ref="B308:B311"/>
    <mergeCell ref="C308:C311"/>
    <mergeCell ref="D308:D311"/>
    <mergeCell ref="E308:E311"/>
    <mergeCell ref="F348:F349"/>
    <mergeCell ref="G348:G349"/>
    <mergeCell ref="H348:H349"/>
    <mergeCell ref="A312:A322"/>
    <mergeCell ref="B312:B322"/>
    <mergeCell ref="C312:C322"/>
    <mergeCell ref="D312:D322"/>
    <mergeCell ref="E312:E322"/>
    <mergeCell ref="F312:F322"/>
    <mergeCell ref="G312:G322"/>
    <mergeCell ref="H312:H322"/>
    <mergeCell ref="A323:A327"/>
    <mergeCell ref="B323:B327"/>
    <mergeCell ref="C323:C327"/>
    <mergeCell ref="D323:D327"/>
    <mergeCell ref="E323:E327"/>
    <mergeCell ref="F323:F327"/>
    <mergeCell ref="G323:G327"/>
    <mergeCell ref="H323:H327"/>
    <mergeCell ref="A304:A305"/>
    <mergeCell ref="B304:B305"/>
    <mergeCell ref="C304:C305"/>
    <mergeCell ref="D304:D305"/>
    <mergeCell ref="E304:E305"/>
    <mergeCell ref="F304:F305"/>
    <mergeCell ref="G304:G305"/>
    <mergeCell ref="H304:H305"/>
    <mergeCell ref="A306:A307"/>
    <mergeCell ref="B306:B307"/>
    <mergeCell ref="C306:C307"/>
    <mergeCell ref="D306:D307"/>
    <mergeCell ref="E306:E307"/>
    <mergeCell ref="F306:F307"/>
    <mergeCell ref="G306:G307"/>
    <mergeCell ref="H306:H307"/>
    <mergeCell ref="F308:F311"/>
    <mergeCell ref="G308:G311"/>
    <mergeCell ref="H308:H311"/>
    <mergeCell ref="A298:A299"/>
    <mergeCell ref="B298:B299"/>
    <mergeCell ref="C298:C299"/>
    <mergeCell ref="D298:D299"/>
    <mergeCell ref="E298:E299"/>
    <mergeCell ref="F298:F299"/>
    <mergeCell ref="G298:G299"/>
    <mergeCell ref="H298:H299"/>
    <mergeCell ref="A300:A301"/>
    <mergeCell ref="B300:B301"/>
    <mergeCell ref="C300:C301"/>
    <mergeCell ref="D300:D301"/>
    <mergeCell ref="E300:E301"/>
    <mergeCell ref="F300:F301"/>
    <mergeCell ref="G300:G301"/>
    <mergeCell ref="H300:H301"/>
    <mergeCell ref="A302:A303"/>
    <mergeCell ref="B302:B303"/>
    <mergeCell ref="C302:C303"/>
    <mergeCell ref="D302:D303"/>
    <mergeCell ref="E302:E303"/>
    <mergeCell ref="F302:F303"/>
    <mergeCell ref="G302:G303"/>
    <mergeCell ref="H302:H303"/>
    <mergeCell ref="H285:H286"/>
    <mergeCell ref="A292:A293"/>
    <mergeCell ref="B292:B293"/>
    <mergeCell ref="C292:C293"/>
    <mergeCell ref="D292:D293"/>
    <mergeCell ref="E292:E293"/>
    <mergeCell ref="F292:F293"/>
    <mergeCell ref="G292:G293"/>
    <mergeCell ref="H292:H293"/>
    <mergeCell ref="A294:A295"/>
    <mergeCell ref="B294:B295"/>
    <mergeCell ref="C294:C295"/>
    <mergeCell ref="D294:D295"/>
    <mergeCell ref="E294:E295"/>
    <mergeCell ref="F294:F295"/>
    <mergeCell ref="G294:G295"/>
    <mergeCell ref="H294:H295"/>
    <mergeCell ref="F285:F286"/>
    <mergeCell ref="G285:G286"/>
    <mergeCell ref="A285:A286"/>
    <mergeCell ref="B285:B286"/>
    <mergeCell ref="C285:C286"/>
    <mergeCell ref="D285:D286"/>
    <mergeCell ref="E285:E286"/>
    <mergeCell ref="A269:A270"/>
    <mergeCell ref="B269:B270"/>
    <mergeCell ref="C269:C270"/>
    <mergeCell ref="D269:D270"/>
    <mergeCell ref="E269:E270"/>
    <mergeCell ref="F269:F270"/>
    <mergeCell ref="A273:A274"/>
    <mergeCell ref="B273:B274"/>
    <mergeCell ref="C273:C274"/>
    <mergeCell ref="D273:D274"/>
    <mergeCell ref="E273:E274"/>
    <mergeCell ref="F273:F274"/>
    <mergeCell ref="A279:A282"/>
    <mergeCell ref="B279:B282"/>
    <mergeCell ref="F277:F278"/>
    <mergeCell ref="C279:C282"/>
    <mergeCell ref="D279:D282"/>
    <mergeCell ref="E279:E282"/>
    <mergeCell ref="F279:F282"/>
    <mergeCell ref="F275:F276"/>
    <mergeCell ref="G269:G270"/>
    <mergeCell ref="H269:H270"/>
    <mergeCell ref="A271:A272"/>
    <mergeCell ref="B271:B272"/>
    <mergeCell ref="C271:C272"/>
    <mergeCell ref="D271:D272"/>
    <mergeCell ref="E271:E272"/>
    <mergeCell ref="F271:F272"/>
    <mergeCell ref="G271:G272"/>
    <mergeCell ref="H271:H272"/>
    <mergeCell ref="G273:G274"/>
    <mergeCell ref="H273:H274"/>
    <mergeCell ref="A263:A264"/>
    <mergeCell ref="B263:B264"/>
    <mergeCell ref="C263:C264"/>
    <mergeCell ref="D263:D264"/>
    <mergeCell ref="E263:E264"/>
    <mergeCell ref="F263:F264"/>
    <mergeCell ref="G263:G264"/>
    <mergeCell ref="H263:H264"/>
    <mergeCell ref="A265:A266"/>
    <mergeCell ref="B265:B266"/>
    <mergeCell ref="C265:C266"/>
    <mergeCell ref="D265:D266"/>
    <mergeCell ref="E265:E266"/>
    <mergeCell ref="F265:F266"/>
    <mergeCell ref="G265:G266"/>
    <mergeCell ref="H265:H266"/>
    <mergeCell ref="A267:A268"/>
    <mergeCell ref="B267:B268"/>
    <mergeCell ref="C267:C268"/>
    <mergeCell ref="D267:D268"/>
    <mergeCell ref="E267:E268"/>
    <mergeCell ref="F267:F268"/>
    <mergeCell ref="G267:G268"/>
    <mergeCell ref="H267:H268"/>
    <mergeCell ref="A257:A258"/>
    <mergeCell ref="B257:B258"/>
    <mergeCell ref="C257:C258"/>
    <mergeCell ref="D257:D258"/>
    <mergeCell ref="E257:E258"/>
    <mergeCell ref="F257:F258"/>
    <mergeCell ref="G257:G258"/>
    <mergeCell ref="H257:H258"/>
    <mergeCell ref="A259:A260"/>
    <mergeCell ref="B259:B260"/>
    <mergeCell ref="C259:C260"/>
    <mergeCell ref="D259:D260"/>
    <mergeCell ref="E259:E260"/>
    <mergeCell ref="F259:F260"/>
    <mergeCell ref="G259:G260"/>
    <mergeCell ref="H259:H260"/>
    <mergeCell ref="A261:A262"/>
    <mergeCell ref="B261:B262"/>
    <mergeCell ref="C261:C262"/>
    <mergeCell ref="D261:D262"/>
    <mergeCell ref="E261:E262"/>
    <mergeCell ref="F261:F262"/>
    <mergeCell ref="G261:G262"/>
    <mergeCell ref="H261:H262"/>
    <mergeCell ref="A249:A250"/>
    <mergeCell ref="B249:B250"/>
    <mergeCell ref="C249:C250"/>
    <mergeCell ref="D249:D250"/>
    <mergeCell ref="E249:E250"/>
    <mergeCell ref="F249:F250"/>
    <mergeCell ref="G249:G250"/>
    <mergeCell ref="H249:H250"/>
    <mergeCell ref="A253:A254"/>
    <mergeCell ref="B253:B254"/>
    <mergeCell ref="C253:C254"/>
    <mergeCell ref="D253:D254"/>
    <mergeCell ref="E253:E254"/>
    <mergeCell ref="F253:F254"/>
    <mergeCell ref="G253:G254"/>
    <mergeCell ref="H253:H254"/>
    <mergeCell ref="A255:A256"/>
    <mergeCell ref="B255:B256"/>
    <mergeCell ref="C255:C256"/>
    <mergeCell ref="D255:D256"/>
    <mergeCell ref="E255:E256"/>
    <mergeCell ref="F255:F256"/>
    <mergeCell ref="G255:G256"/>
    <mergeCell ref="H255:H256"/>
    <mergeCell ref="F251:F252"/>
    <mergeCell ref="G251:G252"/>
    <mergeCell ref="H251:H252"/>
    <mergeCell ref="A251:A252"/>
    <mergeCell ref="B251:B252"/>
    <mergeCell ref="C251:C252"/>
    <mergeCell ref="D251:D252"/>
    <mergeCell ref="E251:E252"/>
    <mergeCell ref="A234:A236"/>
    <mergeCell ref="B234:B236"/>
    <mergeCell ref="C234:C236"/>
    <mergeCell ref="D234:D236"/>
    <mergeCell ref="E234:E236"/>
    <mergeCell ref="F234:F236"/>
    <mergeCell ref="G234:G236"/>
    <mergeCell ref="H234:H236"/>
    <mergeCell ref="A237:A246"/>
    <mergeCell ref="B237:B246"/>
    <mergeCell ref="C237:C246"/>
    <mergeCell ref="D237:D246"/>
    <mergeCell ref="E237:E246"/>
    <mergeCell ref="F237:F246"/>
    <mergeCell ref="G237:G246"/>
    <mergeCell ref="H237:H246"/>
    <mergeCell ref="A247:A248"/>
    <mergeCell ref="B247:B248"/>
    <mergeCell ref="C247:C248"/>
    <mergeCell ref="D247:D248"/>
    <mergeCell ref="E247:E248"/>
    <mergeCell ref="F247:F248"/>
    <mergeCell ref="G247:G248"/>
    <mergeCell ref="H247:H248"/>
    <mergeCell ref="A219:A222"/>
    <mergeCell ref="B219:B222"/>
    <mergeCell ref="C219:C222"/>
    <mergeCell ref="D219:D222"/>
    <mergeCell ref="E219:E222"/>
    <mergeCell ref="F219:F222"/>
    <mergeCell ref="G219:G222"/>
    <mergeCell ref="H219:H222"/>
    <mergeCell ref="A225:A231"/>
    <mergeCell ref="B225:B231"/>
    <mergeCell ref="C225:C231"/>
    <mergeCell ref="D225:D231"/>
    <mergeCell ref="E225:E231"/>
    <mergeCell ref="F225:F231"/>
    <mergeCell ref="G225:G231"/>
    <mergeCell ref="H225:H231"/>
    <mergeCell ref="A232:A233"/>
    <mergeCell ref="B232:B233"/>
    <mergeCell ref="C232:C233"/>
    <mergeCell ref="D232:D233"/>
    <mergeCell ref="E232:E233"/>
    <mergeCell ref="F232:F233"/>
    <mergeCell ref="G232:G233"/>
    <mergeCell ref="H232:H233"/>
    <mergeCell ref="A223:A224"/>
    <mergeCell ref="B223:B224"/>
    <mergeCell ref="C223:C224"/>
    <mergeCell ref="D223:D224"/>
    <mergeCell ref="E223:E224"/>
    <mergeCell ref="F223:F224"/>
    <mergeCell ref="G223:G224"/>
    <mergeCell ref="H223:H224"/>
    <mergeCell ref="A201:A202"/>
    <mergeCell ref="B201:B202"/>
    <mergeCell ref="C201:C202"/>
    <mergeCell ref="D201:D202"/>
    <mergeCell ref="E201:E202"/>
    <mergeCell ref="F201:F202"/>
    <mergeCell ref="G201:G202"/>
    <mergeCell ref="H201:H202"/>
    <mergeCell ref="A203:A204"/>
    <mergeCell ref="B203:B204"/>
    <mergeCell ref="C203:C204"/>
    <mergeCell ref="D203:D204"/>
    <mergeCell ref="E203:E204"/>
    <mergeCell ref="F203:F204"/>
    <mergeCell ref="G203:G204"/>
    <mergeCell ref="H203:H204"/>
    <mergeCell ref="A205:A206"/>
    <mergeCell ref="B205:B206"/>
    <mergeCell ref="C205:C206"/>
    <mergeCell ref="D205:D206"/>
    <mergeCell ref="E205:E206"/>
    <mergeCell ref="F205:F206"/>
    <mergeCell ref="G205:G206"/>
    <mergeCell ref="H205:H206"/>
    <mergeCell ref="A184:A191"/>
    <mergeCell ref="B184:B191"/>
    <mergeCell ref="C184:C191"/>
    <mergeCell ref="D184:D191"/>
    <mergeCell ref="E184:E191"/>
    <mergeCell ref="F184:F191"/>
    <mergeCell ref="G184:G191"/>
    <mergeCell ref="H184:H191"/>
    <mergeCell ref="A192:A196"/>
    <mergeCell ref="B192:B196"/>
    <mergeCell ref="C192:C196"/>
    <mergeCell ref="D192:D196"/>
    <mergeCell ref="E192:E196"/>
    <mergeCell ref="F192:F196"/>
    <mergeCell ref="G192:G196"/>
    <mergeCell ref="H192:H196"/>
    <mergeCell ref="A197:A200"/>
    <mergeCell ref="B197:B200"/>
    <mergeCell ref="C197:C200"/>
    <mergeCell ref="D197:D200"/>
    <mergeCell ref="E197:E200"/>
    <mergeCell ref="F197:F200"/>
    <mergeCell ref="G197:G200"/>
    <mergeCell ref="H197:H200"/>
    <mergeCell ref="A168:A169"/>
    <mergeCell ref="B168:B169"/>
    <mergeCell ref="C168:C169"/>
    <mergeCell ref="D168:D169"/>
    <mergeCell ref="E168:E169"/>
    <mergeCell ref="F168:F169"/>
    <mergeCell ref="G168:G169"/>
    <mergeCell ref="H168:H169"/>
    <mergeCell ref="A170:A177"/>
    <mergeCell ref="B170:B177"/>
    <mergeCell ref="C170:C177"/>
    <mergeCell ref="D170:D177"/>
    <mergeCell ref="E170:E177"/>
    <mergeCell ref="F170:F177"/>
    <mergeCell ref="G170:G177"/>
    <mergeCell ref="H170:H177"/>
    <mergeCell ref="A178:A183"/>
    <mergeCell ref="B178:B183"/>
    <mergeCell ref="C178:C183"/>
    <mergeCell ref="D178:D183"/>
    <mergeCell ref="E178:E183"/>
    <mergeCell ref="F178:F183"/>
    <mergeCell ref="G178:G183"/>
    <mergeCell ref="H178:H183"/>
    <mergeCell ref="A158:A159"/>
    <mergeCell ref="B158:B159"/>
    <mergeCell ref="C158:C159"/>
    <mergeCell ref="D158:D159"/>
    <mergeCell ref="E158:E159"/>
    <mergeCell ref="F158:F159"/>
    <mergeCell ref="G158:G159"/>
    <mergeCell ref="H158:H159"/>
    <mergeCell ref="A160:A162"/>
    <mergeCell ref="B160:B162"/>
    <mergeCell ref="C160:C162"/>
    <mergeCell ref="D160:D162"/>
    <mergeCell ref="E160:E162"/>
    <mergeCell ref="F160:F162"/>
    <mergeCell ref="G160:G162"/>
    <mergeCell ref="H160:H162"/>
    <mergeCell ref="A163:A167"/>
    <mergeCell ref="B163:B167"/>
    <mergeCell ref="C163:C167"/>
    <mergeCell ref="D163:D167"/>
    <mergeCell ref="E163:E167"/>
    <mergeCell ref="F163:F167"/>
    <mergeCell ref="G163:G167"/>
    <mergeCell ref="H163:H167"/>
    <mergeCell ref="A149:A150"/>
    <mergeCell ref="B149:B150"/>
    <mergeCell ref="C149:C150"/>
    <mergeCell ref="D149:D150"/>
    <mergeCell ref="E149:E150"/>
    <mergeCell ref="F149:F150"/>
    <mergeCell ref="G149:G150"/>
    <mergeCell ref="H149:H150"/>
    <mergeCell ref="A151:A154"/>
    <mergeCell ref="B151:B154"/>
    <mergeCell ref="C151:C154"/>
    <mergeCell ref="D151:D154"/>
    <mergeCell ref="E151:E154"/>
    <mergeCell ref="F151:F154"/>
    <mergeCell ref="G151:G154"/>
    <mergeCell ref="H151:H154"/>
    <mergeCell ref="A155:A157"/>
    <mergeCell ref="B155:B157"/>
    <mergeCell ref="C155:C157"/>
    <mergeCell ref="D155:D157"/>
    <mergeCell ref="E155:E157"/>
    <mergeCell ref="F155:F157"/>
    <mergeCell ref="G155:G157"/>
    <mergeCell ref="H155:H157"/>
    <mergeCell ref="A140:A143"/>
    <mergeCell ref="B140:B143"/>
    <mergeCell ref="C140:C143"/>
    <mergeCell ref="D140:D143"/>
    <mergeCell ref="E140:E143"/>
    <mergeCell ref="F140:F143"/>
    <mergeCell ref="G140:G143"/>
    <mergeCell ref="H140:H143"/>
    <mergeCell ref="A144:A146"/>
    <mergeCell ref="B144:B146"/>
    <mergeCell ref="C144:C146"/>
    <mergeCell ref="D144:D146"/>
    <mergeCell ref="E144:E146"/>
    <mergeCell ref="F144:F146"/>
    <mergeCell ref="G144:G146"/>
    <mergeCell ref="H144:H146"/>
    <mergeCell ref="A147:A148"/>
    <mergeCell ref="B147:B148"/>
    <mergeCell ref="C147:C148"/>
    <mergeCell ref="D147:D148"/>
    <mergeCell ref="E147:E148"/>
    <mergeCell ref="F147:F148"/>
    <mergeCell ref="G147:G148"/>
    <mergeCell ref="H147:H148"/>
    <mergeCell ref="A126:A128"/>
    <mergeCell ref="B126:B128"/>
    <mergeCell ref="C126:C128"/>
    <mergeCell ref="D126:D128"/>
    <mergeCell ref="E126:E128"/>
    <mergeCell ref="F126:F128"/>
    <mergeCell ref="G126:G128"/>
    <mergeCell ref="H126:H128"/>
    <mergeCell ref="A129:A133"/>
    <mergeCell ref="B129:B133"/>
    <mergeCell ref="C129:C133"/>
    <mergeCell ref="D129:D133"/>
    <mergeCell ref="E129:E133"/>
    <mergeCell ref="F129:F133"/>
    <mergeCell ref="G129:G133"/>
    <mergeCell ref="H129:H133"/>
    <mergeCell ref="F328:F329"/>
    <mergeCell ref="G328:G329"/>
    <mergeCell ref="H328:H329"/>
    <mergeCell ref="F330:F339"/>
    <mergeCell ref="G330:G339"/>
    <mergeCell ref="H330:H339"/>
    <mergeCell ref="A330:A339"/>
    <mergeCell ref="B330:B339"/>
    <mergeCell ref="C330:C339"/>
    <mergeCell ref="D330:D339"/>
    <mergeCell ref="E330:E339"/>
    <mergeCell ref="A344:A345"/>
    <mergeCell ref="B344:B345"/>
    <mergeCell ref="C344:C345"/>
    <mergeCell ref="D344:D345"/>
    <mergeCell ref="E344:E345"/>
    <mergeCell ref="A340:A341"/>
    <mergeCell ref="B340:B341"/>
    <mergeCell ref="C340:C341"/>
    <mergeCell ref="D340:D341"/>
    <mergeCell ref="E340:E341"/>
    <mergeCell ref="H289:H290"/>
    <mergeCell ref="A287:A288"/>
    <mergeCell ref="B287:B288"/>
    <mergeCell ref="C287:C288"/>
    <mergeCell ref="D287:D288"/>
    <mergeCell ref="E287:E288"/>
    <mergeCell ref="F287:F288"/>
    <mergeCell ref="G287:G288"/>
    <mergeCell ref="A342:A343"/>
    <mergeCell ref="B342:B343"/>
    <mergeCell ref="C342:C343"/>
    <mergeCell ref="D342:D343"/>
    <mergeCell ref="E342:E343"/>
    <mergeCell ref="F342:F343"/>
    <mergeCell ref="G342:G343"/>
    <mergeCell ref="H342:H343"/>
    <mergeCell ref="F340:F341"/>
    <mergeCell ref="G340:G341"/>
    <mergeCell ref="H340:H341"/>
    <mergeCell ref="A328:A329"/>
    <mergeCell ref="B328:B329"/>
    <mergeCell ref="C328:C329"/>
    <mergeCell ref="D328:D329"/>
    <mergeCell ref="E328:E329"/>
    <mergeCell ref="H275:H276"/>
    <mergeCell ref="A296:A297"/>
    <mergeCell ref="B296:B297"/>
    <mergeCell ref="C296:C297"/>
    <mergeCell ref="D296:D297"/>
    <mergeCell ref="E296:E297"/>
    <mergeCell ref="F296:F297"/>
    <mergeCell ref="G296:G297"/>
    <mergeCell ref="H296:H297"/>
    <mergeCell ref="C283:C284"/>
    <mergeCell ref="D283:D284"/>
    <mergeCell ref="E283:E284"/>
    <mergeCell ref="F283:F284"/>
    <mergeCell ref="G283:G284"/>
    <mergeCell ref="H283:H284"/>
    <mergeCell ref="H287:H288"/>
    <mergeCell ref="A289:A290"/>
    <mergeCell ref="B289:B290"/>
    <mergeCell ref="C289:C290"/>
    <mergeCell ref="D289:D290"/>
    <mergeCell ref="E289:E290"/>
    <mergeCell ref="F289:F290"/>
    <mergeCell ref="G279:G282"/>
    <mergeCell ref="G289:G290"/>
    <mergeCell ref="H279:H282"/>
    <mergeCell ref="A283:A284"/>
    <mergeCell ref="B283:B284"/>
    <mergeCell ref="F217:F218"/>
    <mergeCell ref="G217:G218"/>
    <mergeCell ref="H217:H218"/>
    <mergeCell ref="A217:A218"/>
    <mergeCell ref="B217:B218"/>
    <mergeCell ref="C217:C218"/>
    <mergeCell ref="D217:D218"/>
    <mergeCell ref="E217:E218"/>
    <mergeCell ref="G277:G278"/>
    <mergeCell ref="H277:H278"/>
    <mergeCell ref="A277:A278"/>
    <mergeCell ref="B277:B278"/>
    <mergeCell ref="C277:C278"/>
    <mergeCell ref="D277:D278"/>
    <mergeCell ref="E277:E278"/>
    <mergeCell ref="A275:A276"/>
    <mergeCell ref="B275:B276"/>
    <mergeCell ref="C275:C276"/>
    <mergeCell ref="D275:D276"/>
    <mergeCell ref="E275:E276"/>
    <mergeCell ref="G275:G276"/>
    <mergeCell ref="F213:F214"/>
    <mergeCell ref="G213:G214"/>
    <mergeCell ref="H213:H214"/>
    <mergeCell ref="A215:A216"/>
    <mergeCell ref="B215:B216"/>
    <mergeCell ref="C215:C216"/>
    <mergeCell ref="D215:D216"/>
    <mergeCell ref="E215:E216"/>
    <mergeCell ref="F215:F216"/>
    <mergeCell ref="G215:G216"/>
    <mergeCell ref="H215:H216"/>
    <mergeCell ref="A213:A214"/>
    <mergeCell ref="B213:B214"/>
    <mergeCell ref="C213:C214"/>
    <mergeCell ref="D213:D214"/>
    <mergeCell ref="E213:E214"/>
    <mergeCell ref="F209:F210"/>
    <mergeCell ref="G209:G210"/>
    <mergeCell ref="H209:H210"/>
    <mergeCell ref="A211:A212"/>
    <mergeCell ref="B211:B212"/>
    <mergeCell ref="C211:C212"/>
    <mergeCell ref="D211:D212"/>
    <mergeCell ref="E211:E212"/>
    <mergeCell ref="F211:F212"/>
    <mergeCell ref="G211:G212"/>
    <mergeCell ref="H211:H212"/>
    <mergeCell ref="A209:A210"/>
    <mergeCell ref="B209:B210"/>
    <mergeCell ref="C209:C210"/>
    <mergeCell ref="D209:D210"/>
    <mergeCell ref="E209:E210"/>
    <mergeCell ref="A207:A208"/>
    <mergeCell ref="B207:B208"/>
    <mergeCell ref="C207:C208"/>
    <mergeCell ref="D207:D208"/>
    <mergeCell ref="E207:E208"/>
    <mergeCell ref="F207:F208"/>
    <mergeCell ref="G207:G208"/>
    <mergeCell ref="H207:H208"/>
    <mergeCell ref="F122:F125"/>
    <mergeCell ref="G122:G125"/>
    <mergeCell ref="H122:H125"/>
    <mergeCell ref="A122:A125"/>
    <mergeCell ref="B122:B125"/>
    <mergeCell ref="C122:C125"/>
    <mergeCell ref="D122:D125"/>
    <mergeCell ref="E122:E125"/>
    <mergeCell ref="A134:A139"/>
    <mergeCell ref="B134:B139"/>
    <mergeCell ref="C134:C139"/>
    <mergeCell ref="D134:D139"/>
    <mergeCell ref="E134:E139"/>
    <mergeCell ref="F134:F139"/>
    <mergeCell ref="G134:G139"/>
    <mergeCell ref="H134:H139"/>
    <mergeCell ref="F108:F115"/>
    <mergeCell ref="G108:G115"/>
    <mergeCell ref="H108:H115"/>
    <mergeCell ref="A116:A121"/>
    <mergeCell ref="B116:B121"/>
    <mergeCell ref="C116:C121"/>
    <mergeCell ref="D116:D121"/>
    <mergeCell ref="E116:E121"/>
    <mergeCell ref="F116:F121"/>
    <mergeCell ref="G116:G121"/>
    <mergeCell ref="H116:H121"/>
    <mergeCell ref="A108:A115"/>
    <mergeCell ref="B108:B115"/>
    <mergeCell ref="C108:C115"/>
    <mergeCell ref="D108:D115"/>
    <mergeCell ref="E108:E115"/>
    <mergeCell ref="F104:F105"/>
    <mergeCell ref="G104:G105"/>
    <mergeCell ref="H104:H105"/>
    <mergeCell ref="A106:A107"/>
    <mergeCell ref="B106:B107"/>
    <mergeCell ref="C106:C107"/>
    <mergeCell ref="D106:D107"/>
    <mergeCell ref="E106:E107"/>
    <mergeCell ref="F106:F107"/>
    <mergeCell ref="G106:G107"/>
    <mergeCell ref="H106:H107"/>
    <mergeCell ref="A104:A105"/>
    <mergeCell ref="B104:B105"/>
    <mergeCell ref="C104:C105"/>
    <mergeCell ref="D104:D105"/>
    <mergeCell ref="E104:E105"/>
    <mergeCell ref="F100:F101"/>
    <mergeCell ref="G100:G101"/>
    <mergeCell ref="H100:H101"/>
    <mergeCell ref="A102:A103"/>
    <mergeCell ref="B102:B103"/>
    <mergeCell ref="C102:C103"/>
    <mergeCell ref="D102:D103"/>
    <mergeCell ref="E102:E103"/>
    <mergeCell ref="F102:F103"/>
    <mergeCell ref="G102:G103"/>
    <mergeCell ref="H102:H103"/>
    <mergeCell ref="A100:A101"/>
    <mergeCell ref="B100:B101"/>
    <mergeCell ref="C100:C101"/>
    <mergeCell ref="D100:D101"/>
    <mergeCell ref="E100:E101"/>
    <mergeCell ref="F96:F97"/>
    <mergeCell ref="G96:G97"/>
    <mergeCell ref="H96:H97"/>
    <mergeCell ref="A98:A99"/>
    <mergeCell ref="B98:B99"/>
    <mergeCell ref="C98:C99"/>
    <mergeCell ref="D98:D99"/>
    <mergeCell ref="E98:E99"/>
    <mergeCell ref="F98:F99"/>
    <mergeCell ref="G98:G99"/>
    <mergeCell ref="H98:H99"/>
    <mergeCell ref="A96:A97"/>
    <mergeCell ref="B96:B97"/>
    <mergeCell ref="C96:C97"/>
    <mergeCell ref="D96:D97"/>
    <mergeCell ref="E96:E97"/>
    <mergeCell ref="F89:F93"/>
    <mergeCell ref="G89:G93"/>
    <mergeCell ref="H89:H93"/>
    <mergeCell ref="A94:A95"/>
    <mergeCell ref="B94:B95"/>
    <mergeCell ref="C94:C95"/>
    <mergeCell ref="D94:D95"/>
    <mergeCell ref="E94:E95"/>
    <mergeCell ref="F94:F95"/>
    <mergeCell ref="G94:G95"/>
    <mergeCell ref="H94:H95"/>
    <mergeCell ref="A89:A93"/>
    <mergeCell ref="B89:B93"/>
    <mergeCell ref="C89:C93"/>
    <mergeCell ref="D89:D93"/>
    <mergeCell ref="E89:E93"/>
    <mergeCell ref="F81:F84"/>
    <mergeCell ref="G81:G84"/>
    <mergeCell ref="H81:H84"/>
    <mergeCell ref="A85:A88"/>
    <mergeCell ref="B85:B88"/>
    <mergeCell ref="C85:C88"/>
    <mergeCell ref="D85:D88"/>
    <mergeCell ref="E85:E88"/>
    <mergeCell ref="F85:F88"/>
    <mergeCell ref="G85:G88"/>
    <mergeCell ref="H85:H88"/>
    <mergeCell ref="A81:A84"/>
    <mergeCell ref="B81:B84"/>
    <mergeCell ref="C81:C84"/>
    <mergeCell ref="D81:D84"/>
    <mergeCell ref="E81:E84"/>
    <mergeCell ref="F77:F78"/>
    <mergeCell ref="G77:G78"/>
    <mergeCell ref="H77:H78"/>
    <mergeCell ref="A79:A80"/>
    <mergeCell ref="B79:B80"/>
    <mergeCell ref="C79:C80"/>
    <mergeCell ref="D79:D80"/>
    <mergeCell ref="E79:E80"/>
    <mergeCell ref="F79:F80"/>
    <mergeCell ref="G79:G80"/>
    <mergeCell ref="H79:H80"/>
    <mergeCell ref="A77:A78"/>
    <mergeCell ref="B77:B78"/>
    <mergeCell ref="C77:C78"/>
    <mergeCell ref="D77:D78"/>
    <mergeCell ref="E77:E78"/>
    <mergeCell ref="F67:F70"/>
    <mergeCell ref="G67:G70"/>
    <mergeCell ref="H67:H70"/>
    <mergeCell ref="A71:A76"/>
    <mergeCell ref="B71:B76"/>
    <mergeCell ref="C71:C76"/>
    <mergeCell ref="D71:D76"/>
    <mergeCell ref="E71:E76"/>
    <mergeCell ref="F71:F76"/>
    <mergeCell ref="G71:G76"/>
    <mergeCell ref="H71:H76"/>
    <mergeCell ref="A67:A70"/>
    <mergeCell ref="B67:B70"/>
    <mergeCell ref="C67:C70"/>
    <mergeCell ref="D67:D70"/>
    <mergeCell ref="E67:E70"/>
    <mergeCell ref="F61:F64"/>
    <mergeCell ref="G61:G64"/>
    <mergeCell ref="H61:H64"/>
    <mergeCell ref="A65:A66"/>
    <mergeCell ref="B65:B66"/>
    <mergeCell ref="C65:C66"/>
    <mergeCell ref="D65:D66"/>
    <mergeCell ref="E65:E66"/>
    <mergeCell ref="F65:F66"/>
    <mergeCell ref="G65:G66"/>
    <mergeCell ref="H65:H66"/>
    <mergeCell ref="A61:A64"/>
    <mergeCell ref="B61:B64"/>
    <mergeCell ref="C61:C64"/>
    <mergeCell ref="D61:D64"/>
    <mergeCell ref="E61:E64"/>
    <mergeCell ref="F55:F56"/>
    <mergeCell ref="G55:G56"/>
    <mergeCell ref="H55:H56"/>
    <mergeCell ref="A57:A60"/>
    <mergeCell ref="B57:B60"/>
    <mergeCell ref="C57:C60"/>
    <mergeCell ref="D57:D60"/>
    <mergeCell ref="E57:E60"/>
    <mergeCell ref="F57:F60"/>
    <mergeCell ref="G57:G60"/>
    <mergeCell ref="H57:H60"/>
    <mergeCell ref="A55:A56"/>
    <mergeCell ref="B55:B56"/>
    <mergeCell ref="C55:C56"/>
    <mergeCell ref="D55:D56"/>
    <mergeCell ref="E55:E56"/>
    <mergeCell ref="F50:F51"/>
    <mergeCell ref="G50:G51"/>
    <mergeCell ref="H50:H51"/>
    <mergeCell ref="A52:A54"/>
    <mergeCell ref="B52:B54"/>
    <mergeCell ref="C52:C54"/>
    <mergeCell ref="D52:D54"/>
    <mergeCell ref="E52:E54"/>
    <mergeCell ref="F52:F54"/>
    <mergeCell ref="G52:G54"/>
    <mergeCell ref="H52:H54"/>
    <mergeCell ref="A50:A51"/>
    <mergeCell ref="B50:B51"/>
    <mergeCell ref="C50:C51"/>
    <mergeCell ref="D50:D51"/>
    <mergeCell ref="E50:E51"/>
    <mergeCell ref="F44:F45"/>
    <mergeCell ref="G44:G45"/>
    <mergeCell ref="H44:H45"/>
    <mergeCell ref="A46:A49"/>
    <mergeCell ref="B46:B49"/>
    <mergeCell ref="C46:C49"/>
    <mergeCell ref="D46:D49"/>
    <mergeCell ref="E46:E49"/>
    <mergeCell ref="F46:F49"/>
    <mergeCell ref="G46:G49"/>
    <mergeCell ref="H46:H49"/>
    <mergeCell ref="A44:A45"/>
    <mergeCell ref="B44:B45"/>
    <mergeCell ref="C44:C45"/>
    <mergeCell ref="D44:D45"/>
    <mergeCell ref="E44:E45"/>
    <mergeCell ref="F40:F41"/>
    <mergeCell ref="G40:G41"/>
    <mergeCell ref="H40:H41"/>
    <mergeCell ref="A42:A43"/>
    <mergeCell ref="B42:B43"/>
    <mergeCell ref="C42:C43"/>
    <mergeCell ref="D42:D43"/>
    <mergeCell ref="E42:E43"/>
    <mergeCell ref="F42:F43"/>
    <mergeCell ref="G42:G43"/>
    <mergeCell ref="H42:H43"/>
    <mergeCell ref="A40:A41"/>
    <mergeCell ref="B40:B41"/>
    <mergeCell ref="C40:C41"/>
    <mergeCell ref="D40:D41"/>
    <mergeCell ref="E40:E41"/>
    <mergeCell ref="F33:F36"/>
    <mergeCell ref="G33:G36"/>
    <mergeCell ref="H33:H36"/>
    <mergeCell ref="A37:A39"/>
    <mergeCell ref="B37:B39"/>
    <mergeCell ref="C37:C39"/>
    <mergeCell ref="D37:D39"/>
    <mergeCell ref="E37:E39"/>
    <mergeCell ref="F37:F39"/>
    <mergeCell ref="G37:G39"/>
    <mergeCell ref="H37:H39"/>
    <mergeCell ref="A33:A36"/>
    <mergeCell ref="B33:B36"/>
    <mergeCell ref="C33:C36"/>
    <mergeCell ref="D33:D36"/>
    <mergeCell ref="E33:E36"/>
    <mergeCell ref="F23:F26"/>
    <mergeCell ref="G23:G26"/>
    <mergeCell ref="H23:H26"/>
    <mergeCell ref="A27:A32"/>
    <mergeCell ref="B27:B32"/>
    <mergeCell ref="C27:C32"/>
    <mergeCell ref="D27:D32"/>
    <mergeCell ref="E27:E32"/>
    <mergeCell ref="F27:F32"/>
    <mergeCell ref="G27:G32"/>
    <mergeCell ref="H27:H32"/>
    <mergeCell ref="A23:A26"/>
    <mergeCell ref="B23:B26"/>
    <mergeCell ref="C23:C26"/>
    <mergeCell ref="D23:D26"/>
    <mergeCell ref="E23:E26"/>
    <mergeCell ref="A16:A22"/>
    <mergeCell ref="B16:B22"/>
    <mergeCell ref="C16:C22"/>
    <mergeCell ref="D16:D22"/>
    <mergeCell ref="E16:E22"/>
    <mergeCell ref="F16:F22"/>
    <mergeCell ref="G16:G22"/>
    <mergeCell ref="H16:H22"/>
    <mergeCell ref="A12:A15"/>
    <mergeCell ref="B12:B15"/>
    <mergeCell ref="C12:C15"/>
    <mergeCell ref="D12:D15"/>
    <mergeCell ref="E12:E15"/>
    <mergeCell ref="F12:F15"/>
    <mergeCell ref="G12:G15"/>
    <mergeCell ref="H12:H15"/>
    <mergeCell ref="G6:G9"/>
    <mergeCell ref="H6:H9"/>
    <mergeCell ref="A10:A11"/>
    <mergeCell ref="B10:B11"/>
    <mergeCell ref="C10:C11"/>
    <mergeCell ref="D10:D11"/>
    <mergeCell ref="E10:E11"/>
    <mergeCell ref="F10:F11"/>
    <mergeCell ref="G10:G11"/>
    <mergeCell ref="H10:H11"/>
    <mergeCell ref="A6:A9"/>
    <mergeCell ref="B6:B9"/>
    <mergeCell ref="C6:C9"/>
    <mergeCell ref="D6:D9"/>
    <mergeCell ref="E6:E9"/>
    <mergeCell ref="F6:F9"/>
    <mergeCell ref="A1:H1"/>
    <mergeCell ref="A2:A4"/>
    <mergeCell ref="B2:B4"/>
    <mergeCell ref="C2:C4"/>
    <mergeCell ref="D2:D4"/>
    <mergeCell ref="E2:E4"/>
    <mergeCell ref="F2:H2"/>
    <mergeCell ref="F3:G3"/>
    <mergeCell ref="H3:H4"/>
  </mergeCells>
  <pageMargins left="0.70866141732283472" right="0.70866141732283472" top="0.74803149606299213" bottom="0.74803149606299213" header="0.31496062992125984" footer="0.31496062992125984"/>
  <pageSetup paperSize="9" scale="82" fitToHeight="18" orientation="landscape" r:id="rId1"/>
  <headerFooter>
    <oddHeader>&amp;C&amp;P</oddHeader>
  </headerFooter>
  <rowBreaks count="10" manualBreakCount="10">
    <brk id="39" max="7" man="1"/>
    <brk id="56" max="7" man="1"/>
    <brk id="105" max="7" man="1"/>
    <brk id="139" max="7" man="1"/>
    <brk id="162" max="7" man="1"/>
    <brk id="200" max="7" man="1"/>
    <brk id="214" max="7" man="1"/>
    <brk id="252" max="7" man="1"/>
    <brk id="274" max="7" man="1"/>
    <brk id="329"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13</vt:i4>
      </vt:variant>
    </vt:vector>
  </HeadingPairs>
  <TitlesOfParts>
    <vt:vector size="22" baseType="lpstr">
      <vt:lpstr>Таблица № 1</vt:lpstr>
      <vt:lpstr>Табл2Саратов</vt:lpstr>
      <vt:lpstr>Табл2Энгельс</vt:lpstr>
      <vt:lpstr>Таблица № 3</vt:lpstr>
      <vt:lpstr>Таблица № 4</vt:lpstr>
      <vt:lpstr>Таблица №5</vt:lpstr>
      <vt:lpstr>Табл6Саратов</vt:lpstr>
      <vt:lpstr>Табл6Энгельс</vt:lpstr>
      <vt:lpstr>ТАБЛИЦА 7</vt:lpstr>
      <vt:lpstr>Табл2Саратов!Заголовки_для_печати</vt:lpstr>
      <vt:lpstr>Табл2Энгельс!Заголовки_для_печати</vt:lpstr>
      <vt:lpstr>Табл6Саратов!Заголовки_для_печати</vt:lpstr>
      <vt:lpstr>Табл6Энгельс!Заголовки_для_печати</vt:lpstr>
      <vt:lpstr>'ТАБЛИЦА 7'!Заголовки_для_печати</vt:lpstr>
      <vt:lpstr>'Таблица № 1'!Заголовки_для_печати</vt:lpstr>
      <vt:lpstr>'Таблица № 4'!Заголовки_для_печати</vt:lpstr>
      <vt:lpstr>'Таблица №5'!Заголовки_для_печати</vt:lpstr>
      <vt:lpstr>Табл2Саратов!Область_печати</vt:lpstr>
      <vt:lpstr>'ТАБЛИЦА 7'!Область_печати</vt:lpstr>
      <vt:lpstr>'Таблица № 1'!Область_печати</vt:lpstr>
      <vt:lpstr>'Таблица № 4'!Область_печати</vt:lpstr>
      <vt:lpstr>'Таблица №5'!Область_печати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Пантелиди Николай Саввович</dc:creator>
  <cp:lastModifiedBy>ChernishovaUP</cp:lastModifiedBy>
  <cp:lastPrinted>2020-01-26T10:04:41Z</cp:lastPrinted>
  <dcterms:created xsi:type="dcterms:W3CDTF">2019-12-10T08:10:04Z</dcterms:created>
  <dcterms:modified xsi:type="dcterms:W3CDTF">2020-02-11T07:50:48Z</dcterms:modified>
</cp:coreProperties>
</file>